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0"/>
  </bookViews>
  <sheets>
    <sheet name="60" sheetId="1" r:id="rId1"/>
    <sheet name="62" sheetId="2" r:id="rId2"/>
    <sheet name="62а" sheetId="3" r:id="rId3"/>
    <sheet name="68" sheetId="4" r:id="rId4"/>
    <sheet name="68а" sheetId="5" r:id="rId5"/>
    <sheet name="70" sheetId="6" r:id="rId6"/>
    <sheet name="70а" sheetId="7" r:id="rId7"/>
    <sheet name="72" sheetId="8" r:id="rId8"/>
    <sheet name="72а" sheetId="9" r:id="rId9"/>
    <sheet name="80" sheetId="11" r:id="rId10"/>
    <sheet name="82" sheetId="12" r:id="rId11"/>
    <sheet name="84в" sheetId="13" r:id="rId12"/>
    <sheet name="86а" sheetId="14" r:id="rId13"/>
    <sheet name="88" sheetId="15" r:id="rId14"/>
    <sheet name="92" sheetId="17" r:id="rId15"/>
    <sheet name="92а" sheetId="18" r:id="rId16"/>
    <sheet name="94" sheetId="19" r:id="rId17"/>
    <sheet name="96" sheetId="20" r:id="rId18"/>
    <sheet name="96а" sheetId="21" r:id="rId19"/>
    <sheet name="98" sheetId="22" r:id="rId20"/>
    <sheet name="100" sheetId="23" r:id="rId21"/>
    <sheet name="Лист1" sheetId="24" r:id="rId22"/>
  </sheets>
  <calcPr calcId="124519"/>
  <fileRecoveryPr autoRecover="0"/>
</workbook>
</file>

<file path=xl/calcChain.xml><?xml version="1.0" encoding="utf-8"?>
<calcChain xmlns="http://schemas.openxmlformats.org/spreadsheetml/2006/main">
  <c r="G20" i="7"/>
  <c r="G19" i="4" l="1"/>
  <c r="G18"/>
  <c r="H33"/>
  <c r="G20"/>
  <c r="G40" i="23" l="1"/>
  <c r="E40"/>
  <c r="F34"/>
  <c r="N25"/>
  <c r="N26"/>
  <c r="M26"/>
  <c r="G40" i="22"/>
  <c r="E40"/>
  <c r="N25"/>
  <c r="N26"/>
  <c r="M26"/>
  <c r="G41" i="21"/>
  <c r="E41"/>
  <c r="N25"/>
  <c r="N26"/>
  <c r="M26"/>
  <c r="G41" i="20"/>
  <c r="E41"/>
  <c r="O25"/>
  <c r="G40" i="19"/>
  <c r="E40"/>
  <c r="N25"/>
  <c r="G41" i="18"/>
  <c r="E41"/>
  <c r="N25"/>
  <c r="G34"/>
  <c r="N26"/>
  <c r="M26"/>
  <c r="G41" i="17"/>
  <c r="E41"/>
  <c r="N25"/>
  <c r="N26"/>
  <c r="M26"/>
  <c r="G41" i="15"/>
  <c r="E41"/>
  <c r="N25"/>
  <c r="N26"/>
  <c r="M26"/>
  <c r="G40" i="14"/>
  <c r="E40"/>
  <c r="N25"/>
  <c r="N26"/>
  <c r="M26"/>
  <c r="G41" i="13"/>
  <c r="E41"/>
  <c r="N25"/>
  <c r="G41" i="12"/>
  <c r="E41"/>
  <c r="N26"/>
  <c r="N27"/>
  <c r="M27"/>
  <c r="G38" i="11"/>
  <c r="E38"/>
  <c r="N23"/>
  <c r="G41" i="9"/>
  <c r="E41"/>
  <c r="N26"/>
  <c r="N27"/>
  <c r="M27"/>
  <c r="N25" i="8"/>
  <c r="G40" i="7"/>
  <c r="E40"/>
  <c r="N25"/>
  <c r="G41" i="6"/>
  <c r="E41"/>
  <c r="N26"/>
  <c r="N27"/>
  <c r="M27"/>
  <c r="G41" i="5"/>
  <c r="E41"/>
  <c r="F35"/>
  <c r="E40" s="1"/>
  <c r="E42"/>
  <c r="N27"/>
  <c r="M27"/>
  <c r="N26"/>
  <c r="G40" i="4"/>
  <c r="E40"/>
  <c r="N25"/>
  <c r="N26"/>
  <c r="M26"/>
  <c r="G42" i="3" l="1"/>
  <c r="E42"/>
  <c r="N26"/>
  <c r="G35" s="1"/>
  <c r="G41" i="2"/>
  <c r="E41"/>
  <c r="N26"/>
  <c r="N27"/>
  <c r="M27"/>
  <c r="G42" i="1"/>
  <c r="E42"/>
  <c r="N26"/>
  <c r="N29" i="23" l="1"/>
  <c r="M29"/>
  <c r="N29" i="18"/>
  <c r="M29"/>
  <c r="N29" i="4"/>
  <c r="M29"/>
  <c r="H30" i="15"/>
  <c r="H30" i="20"/>
  <c r="H31" i="1"/>
  <c r="H30" i="21"/>
  <c r="C21" i="20" l="1"/>
  <c r="G42" i="5" l="1"/>
  <c r="G40" i="15" l="1"/>
  <c r="G42"/>
  <c r="C41" l="1"/>
  <c r="G42" i="18" l="1"/>
  <c r="G40"/>
  <c r="G42" i="13"/>
  <c r="G40"/>
  <c r="G43" i="3"/>
  <c r="G44" s="1"/>
  <c r="G41"/>
  <c r="G22" l="1"/>
  <c r="E22"/>
  <c r="C42"/>
  <c r="C22" l="1"/>
  <c r="G37" i="11"/>
  <c r="G39"/>
  <c r="G40" s="1"/>
  <c r="G19"/>
  <c r="E19"/>
  <c r="C19" l="1"/>
  <c r="C38"/>
  <c r="H30" i="17" l="1"/>
  <c r="G42" l="1"/>
  <c r="G41" i="14"/>
  <c r="G39"/>
  <c r="G42" i="12"/>
  <c r="G40"/>
  <c r="G41" i="8"/>
  <c r="G41" i="7"/>
  <c r="G39"/>
  <c r="G42" i="6"/>
  <c r="G40"/>
  <c r="G40" i="5"/>
  <c r="G41" i="4"/>
  <c r="G42" s="1"/>
  <c r="G39"/>
  <c r="G42" i="2"/>
  <c r="G40"/>
  <c r="G43" i="1"/>
  <c r="G41"/>
  <c r="G44" l="1"/>
  <c r="N29" i="19"/>
  <c r="M29"/>
  <c r="N29" i="8"/>
  <c r="G40" s="1"/>
  <c r="M29" l="1"/>
  <c r="G39" s="1"/>
  <c r="G42" i="20" l="1"/>
  <c r="E22" i="1" l="1"/>
  <c r="C22"/>
  <c r="G40" i="20"/>
  <c r="G21"/>
  <c r="E21"/>
  <c r="G41" i="23"/>
  <c r="G42" s="1"/>
  <c r="G39"/>
  <c r="G21"/>
  <c r="E21"/>
  <c r="G41" i="22"/>
  <c r="G42" s="1"/>
  <c r="G39"/>
  <c r="G21"/>
  <c r="E21"/>
  <c r="G42" i="21"/>
  <c r="G43" s="1"/>
  <c r="G40"/>
  <c r="G21"/>
  <c r="E21"/>
  <c r="G41" i="19"/>
  <c r="G42" s="1"/>
  <c r="G39"/>
  <c r="G21"/>
  <c r="E21"/>
  <c r="G21" i="18"/>
  <c r="E21"/>
  <c r="G43" i="17"/>
  <c r="G40"/>
  <c r="G21"/>
  <c r="E21"/>
  <c r="G43" i="15"/>
  <c r="G21"/>
  <c r="E21"/>
  <c r="C21" s="1"/>
  <c r="G21" i="14"/>
  <c r="E21"/>
  <c r="G21" i="13"/>
  <c r="E21"/>
  <c r="C21" s="1"/>
  <c r="G43" i="12"/>
  <c r="G22"/>
  <c r="E22"/>
  <c r="G42" i="9"/>
  <c r="G43" s="1"/>
  <c r="G40"/>
  <c r="G22"/>
  <c r="E22"/>
  <c r="G42" i="8"/>
  <c r="G21"/>
  <c r="E21"/>
  <c r="C40" i="7"/>
  <c r="G21"/>
  <c r="E21"/>
  <c r="G43" i="6"/>
  <c r="G22"/>
  <c r="E22"/>
  <c r="G22" i="5"/>
  <c r="E22"/>
  <c r="G21" i="4"/>
  <c r="E21"/>
  <c r="C41" i="2"/>
  <c r="G22"/>
  <c r="E22"/>
  <c r="G22" i="1"/>
  <c r="C42"/>
  <c r="C21" i="22" l="1"/>
  <c r="C21" i="8"/>
  <c r="C21" i="7"/>
  <c r="C22" i="6"/>
  <c r="C21" i="23"/>
  <c r="C40" i="22"/>
  <c r="C21" i="21"/>
  <c r="C41"/>
  <c r="C21" i="19"/>
  <c r="C40"/>
  <c r="C21" i="18"/>
  <c r="G43"/>
  <c r="C21" i="17"/>
  <c r="C41"/>
  <c r="C40" i="14"/>
  <c r="C21"/>
  <c r="G43" i="13"/>
  <c r="C22" i="12"/>
  <c r="C41"/>
  <c r="C22" i="9"/>
  <c r="C41"/>
  <c r="G42" i="7"/>
  <c r="C41" i="6"/>
  <c r="G43" i="5"/>
  <c r="C22"/>
  <c r="C41"/>
  <c r="C21" i="4"/>
  <c r="G43" i="2"/>
  <c r="C22"/>
  <c r="G43" i="20"/>
  <c r="C41"/>
  <c r="G42" i="14"/>
  <c r="C41" i="13"/>
  <c r="H33" i="23" l="1"/>
  <c r="H33" i="22"/>
  <c r="H34" i="21"/>
  <c r="H34" i="20"/>
  <c r="H33" i="19" l="1"/>
  <c r="H33" i="18"/>
  <c r="H34" i="17"/>
  <c r="H34" i="15"/>
  <c r="H33" i="14" l="1"/>
  <c r="H33" i="13" l="1"/>
  <c r="H34" i="12"/>
  <c r="H31" i="11"/>
  <c r="H34" i="9"/>
  <c r="H33" i="7"/>
  <c r="H34" i="6"/>
  <c r="H34" i="5"/>
  <c r="H34" i="3" l="1"/>
  <c r="H34" i="2"/>
  <c r="H35" i="1"/>
  <c r="E37" l="1"/>
  <c r="N27" l="1"/>
  <c r="M27"/>
  <c r="F36"/>
  <c r="F34"/>
  <c r="F33"/>
  <c r="F32"/>
  <c r="F30"/>
  <c r="F29"/>
  <c r="F28"/>
  <c r="F27"/>
  <c r="E41" l="1"/>
  <c r="C41" s="1"/>
  <c r="G33"/>
  <c r="G29"/>
  <c r="G27"/>
  <c r="G36"/>
  <c r="G34"/>
  <c r="G32"/>
  <c r="G30"/>
  <c r="G28"/>
  <c r="E35" i="23"/>
  <c r="E35" i="22"/>
  <c r="E43" i="1" l="1"/>
  <c r="G37"/>
  <c r="C43"/>
  <c r="H27"/>
  <c r="N27" i="23"/>
  <c r="C40" s="1"/>
  <c r="M27"/>
  <c r="E44" i="1" l="1"/>
  <c r="C44" s="1"/>
  <c r="F32" i="23"/>
  <c r="F30"/>
  <c r="F28"/>
  <c r="F26"/>
  <c r="F31"/>
  <c r="F29"/>
  <c r="F27"/>
  <c r="G34"/>
  <c r="G31"/>
  <c r="G29"/>
  <c r="G27"/>
  <c r="G32"/>
  <c r="G30"/>
  <c r="G28"/>
  <c r="G26"/>
  <c r="G34" i="22"/>
  <c r="G32"/>
  <c r="G31"/>
  <c r="G30"/>
  <c r="G29"/>
  <c r="G28"/>
  <c r="G27"/>
  <c r="G26"/>
  <c r="F32"/>
  <c r="F30"/>
  <c r="F28"/>
  <c r="F26"/>
  <c r="F34"/>
  <c r="H34" s="1"/>
  <c r="F31"/>
  <c r="F29"/>
  <c r="F27"/>
  <c r="E41" i="23" l="1"/>
  <c r="E39"/>
  <c r="C39" s="1"/>
  <c r="E41" i="22"/>
  <c r="E39"/>
  <c r="H32"/>
  <c r="H27"/>
  <c r="H31"/>
  <c r="H30"/>
  <c r="C41"/>
  <c r="E42" i="23"/>
  <c r="C42" s="1"/>
  <c r="C39" i="22"/>
  <c r="H28"/>
  <c r="H29"/>
  <c r="F35" i="23"/>
  <c r="H28"/>
  <c r="H32"/>
  <c r="H27"/>
  <c r="H31"/>
  <c r="H26"/>
  <c r="G35"/>
  <c r="H30"/>
  <c r="H34"/>
  <c r="H29"/>
  <c r="H26" i="22"/>
  <c r="F35"/>
  <c r="G35"/>
  <c r="E36" i="21"/>
  <c r="E36" i="20"/>
  <c r="E35" i="19"/>
  <c r="E36" i="18"/>
  <c r="E36" i="17"/>
  <c r="E36" i="15"/>
  <c r="E35" i="14"/>
  <c r="E36" i="13"/>
  <c r="E36" i="12"/>
  <c r="E33" i="11"/>
  <c r="E36" i="9"/>
  <c r="E35" i="8"/>
  <c r="E35" i="7"/>
  <c r="E36" i="6"/>
  <c r="E36" i="5"/>
  <c r="E35" i="4"/>
  <c r="O26" i="20" l="1"/>
  <c r="N26"/>
  <c r="F35" s="1"/>
  <c r="N26" i="19"/>
  <c r="M26"/>
  <c r="F34" s="1"/>
  <c r="N26" i="13"/>
  <c r="G34" s="1"/>
  <c r="M26"/>
  <c r="N24" i="11"/>
  <c r="M24"/>
  <c r="N26" i="8"/>
  <c r="M26"/>
  <c r="N26" i="7"/>
  <c r="G29" s="1"/>
  <c r="M26"/>
  <c r="F29" s="1"/>
  <c r="H29" s="1"/>
  <c r="E42" i="22"/>
  <c r="C42" s="1"/>
  <c r="M27" i="4"/>
  <c r="N27"/>
  <c r="C40" s="1"/>
  <c r="H35" i="23"/>
  <c r="C41"/>
  <c r="H35" i="22"/>
  <c r="F33" i="17"/>
  <c r="F31"/>
  <c r="F35"/>
  <c r="F32"/>
  <c r="F29"/>
  <c r="F27"/>
  <c r="F28"/>
  <c r="F26"/>
  <c r="N27" i="19"/>
  <c r="M27"/>
  <c r="M27" i="18"/>
  <c r="F34" s="1"/>
  <c r="N27"/>
  <c r="C41" s="1"/>
  <c r="N27" i="8"/>
  <c r="M27"/>
  <c r="G34" i="7"/>
  <c r="E37" i="3"/>
  <c r="M27" s="1"/>
  <c r="E36" i="2"/>
  <c r="E40" i="8" l="1"/>
  <c r="C40" s="1"/>
  <c r="E40" i="17"/>
  <c r="C40"/>
  <c r="F24" i="11"/>
  <c r="F30"/>
  <c r="F28"/>
  <c r="F26"/>
  <c r="F27"/>
  <c r="F29"/>
  <c r="F25"/>
  <c r="F32"/>
  <c r="G30"/>
  <c r="G28"/>
  <c r="G26"/>
  <c r="G29"/>
  <c r="G25"/>
  <c r="G32"/>
  <c r="G27"/>
  <c r="F35" i="21"/>
  <c r="F33"/>
  <c r="F32"/>
  <c r="F31"/>
  <c r="F29"/>
  <c r="G35"/>
  <c r="G33"/>
  <c r="G32"/>
  <c r="G31"/>
  <c r="G29"/>
  <c r="F35" i="2"/>
  <c r="F33"/>
  <c r="F32"/>
  <c r="F31"/>
  <c r="F30"/>
  <c r="F29"/>
  <c r="F28"/>
  <c r="G24" i="11"/>
  <c r="F32" i="20"/>
  <c r="F29"/>
  <c r="F27"/>
  <c r="F33"/>
  <c r="F31"/>
  <c r="F28"/>
  <c r="F26"/>
  <c r="G33"/>
  <c r="G35"/>
  <c r="G32"/>
  <c r="G31"/>
  <c r="G29"/>
  <c r="H29" s="1"/>
  <c r="G28"/>
  <c r="G27"/>
  <c r="G26"/>
  <c r="G26" i="21"/>
  <c r="G28"/>
  <c r="G27"/>
  <c r="F26"/>
  <c r="E40" s="1"/>
  <c r="F28"/>
  <c r="F27"/>
  <c r="G32" i="19"/>
  <c r="G30"/>
  <c r="G28"/>
  <c r="G26"/>
  <c r="G31"/>
  <c r="G29"/>
  <c r="G27"/>
  <c r="G34"/>
  <c r="F32"/>
  <c r="H32" s="1"/>
  <c r="F30"/>
  <c r="H30" s="1"/>
  <c r="F28"/>
  <c r="F26"/>
  <c r="F31"/>
  <c r="F29"/>
  <c r="H29" s="1"/>
  <c r="F27"/>
  <c r="F32" i="18"/>
  <c r="F30"/>
  <c r="F28"/>
  <c r="F26"/>
  <c r="F31"/>
  <c r="F29"/>
  <c r="F27"/>
  <c r="E40" s="1"/>
  <c r="F35"/>
  <c r="G32"/>
  <c r="G30"/>
  <c r="G28"/>
  <c r="G26"/>
  <c r="G31"/>
  <c r="G29"/>
  <c r="G27"/>
  <c r="E42" s="1"/>
  <c r="G35"/>
  <c r="G35" i="17"/>
  <c r="G33"/>
  <c r="G32"/>
  <c r="G31"/>
  <c r="G29"/>
  <c r="G28"/>
  <c r="G27"/>
  <c r="G26"/>
  <c r="E42" s="1"/>
  <c r="G35" i="15"/>
  <c r="G33"/>
  <c r="G32"/>
  <c r="G31"/>
  <c r="G29"/>
  <c r="F33"/>
  <c r="F31"/>
  <c r="H31" s="1"/>
  <c r="F35"/>
  <c r="F32"/>
  <c r="F29"/>
  <c r="F27"/>
  <c r="F28"/>
  <c r="F26"/>
  <c r="G28"/>
  <c r="G27"/>
  <c r="G26"/>
  <c r="G34" i="14"/>
  <c r="G32"/>
  <c r="G31"/>
  <c r="G30"/>
  <c r="G29"/>
  <c r="G28"/>
  <c r="G27"/>
  <c r="G26"/>
  <c r="F32"/>
  <c r="F30"/>
  <c r="F28"/>
  <c r="F26"/>
  <c r="F34"/>
  <c r="F31"/>
  <c r="F29"/>
  <c r="F27"/>
  <c r="G32" i="13"/>
  <c r="G30"/>
  <c r="G28"/>
  <c r="G26"/>
  <c r="G31"/>
  <c r="G27"/>
  <c r="G35"/>
  <c r="G29"/>
  <c r="F35"/>
  <c r="F31"/>
  <c r="F29"/>
  <c r="F27"/>
  <c r="F30"/>
  <c r="F28"/>
  <c r="F34"/>
  <c r="H34" s="1"/>
  <c r="F32"/>
  <c r="F26"/>
  <c r="F35" i="12"/>
  <c r="F33"/>
  <c r="F32"/>
  <c r="F31"/>
  <c r="F30"/>
  <c r="F29"/>
  <c r="F28"/>
  <c r="F27"/>
  <c r="E40" s="1"/>
  <c r="G35"/>
  <c r="G33"/>
  <c r="G32"/>
  <c r="G31"/>
  <c r="G30"/>
  <c r="G29"/>
  <c r="G28"/>
  <c r="G27"/>
  <c r="F27" i="9"/>
  <c r="F33"/>
  <c r="F31"/>
  <c r="F29"/>
  <c r="F35"/>
  <c r="F32"/>
  <c r="F30"/>
  <c r="F28"/>
  <c r="G27"/>
  <c r="G35"/>
  <c r="G33"/>
  <c r="G32"/>
  <c r="G31"/>
  <c r="G30"/>
  <c r="G29"/>
  <c r="G28"/>
  <c r="F32" i="8"/>
  <c r="F30"/>
  <c r="F28"/>
  <c r="F26"/>
  <c r="F34"/>
  <c r="F31"/>
  <c r="F29"/>
  <c r="F27"/>
  <c r="G32"/>
  <c r="H32" s="1"/>
  <c r="G30"/>
  <c r="H30" s="1"/>
  <c r="G28"/>
  <c r="G26"/>
  <c r="G34"/>
  <c r="G31"/>
  <c r="G29"/>
  <c r="G27"/>
  <c r="H27" s="1"/>
  <c r="F32" i="7"/>
  <c r="F30"/>
  <c r="F28"/>
  <c r="F26"/>
  <c r="F27"/>
  <c r="F34"/>
  <c r="F31"/>
  <c r="G32"/>
  <c r="G31"/>
  <c r="G30"/>
  <c r="G28"/>
  <c r="G27"/>
  <c r="G26"/>
  <c r="F27" i="6"/>
  <c r="F33"/>
  <c r="F31"/>
  <c r="F29"/>
  <c r="F32"/>
  <c r="F30"/>
  <c r="F28"/>
  <c r="F35"/>
  <c r="G27"/>
  <c r="G35"/>
  <c r="H35" s="1"/>
  <c r="G33"/>
  <c r="H33" s="1"/>
  <c r="G32"/>
  <c r="G31"/>
  <c r="G30"/>
  <c r="G29"/>
  <c r="H29" s="1"/>
  <c r="G28"/>
  <c r="F33" i="5"/>
  <c r="F31"/>
  <c r="H31" s="1"/>
  <c r="F29"/>
  <c r="F27"/>
  <c r="F30"/>
  <c r="F28"/>
  <c r="F32"/>
  <c r="G35"/>
  <c r="G33"/>
  <c r="G32"/>
  <c r="G31"/>
  <c r="G30"/>
  <c r="G29"/>
  <c r="G28"/>
  <c r="G27"/>
  <c r="G34" i="4"/>
  <c r="G32"/>
  <c r="G31"/>
  <c r="G30"/>
  <c r="G29"/>
  <c r="G28"/>
  <c r="G27"/>
  <c r="G26"/>
  <c r="F32"/>
  <c r="H32" s="1"/>
  <c r="F30"/>
  <c r="H30" s="1"/>
  <c r="F28"/>
  <c r="H28" s="1"/>
  <c r="F26"/>
  <c r="F34"/>
  <c r="H34" s="1"/>
  <c r="F31"/>
  <c r="F27"/>
  <c r="F29"/>
  <c r="F27" i="2"/>
  <c r="E40" s="1"/>
  <c r="G33" i="11"/>
  <c r="H33" i="8"/>
  <c r="H33" i="21"/>
  <c r="H32"/>
  <c r="H31"/>
  <c r="H29"/>
  <c r="H28"/>
  <c r="H27"/>
  <c r="H33" i="20"/>
  <c r="H28"/>
  <c r="H27"/>
  <c r="H28" i="19"/>
  <c r="H34"/>
  <c r="H31"/>
  <c r="H34" i="18"/>
  <c r="H35" i="17"/>
  <c r="H33"/>
  <c r="H32"/>
  <c r="H31"/>
  <c r="H29"/>
  <c r="H28"/>
  <c r="H27"/>
  <c r="H32" i="15"/>
  <c r="H28"/>
  <c r="H27"/>
  <c r="H33"/>
  <c r="F35" i="14"/>
  <c r="H32" i="11"/>
  <c r="H30"/>
  <c r="H29"/>
  <c r="H27"/>
  <c r="H25"/>
  <c r="H28"/>
  <c r="H26"/>
  <c r="H24"/>
  <c r="H33" i="9"/>
  <c r="H31"/>
  <c r="H29"/>
  <c r="H31" i="8"/>
  <c r="H32" i="6"/>
  <c r="H35" i="5"/>
  <c r="H31" i="20" l="1"/>
  <c r="H32"/>
  <c r="E42" i="13"/>
  <c r="E42" i="21"/>
  <c r="E42" i="20"/>
  <c r="C42" s="1"/>
  <c r="C43" s="1"/>
  <c r="E40"/>
  <c r="C40" s="1"/>
  <c r="H35"/>
  <c r="E41" i="19"/>
  <c r="H27"/>
  <c r="E39"/>
  <c r="C39" s="1"/>
  <c r="E42" i="15"/>
  <c r="H26"/>
  <c r="E40"/>
  <c r="H29"/>
  <c r="H35"/>
  <c r="E41" i="14"/>
  <c r="E39"/>
  <c r="C39" s="1"/>
  <c r="E40" i="13"/>
  <c r="E42" i="12"/>
  <c r="E39" i="11"/>
  <c r="E37"/>
  <c r="E42" i="9"/>
  <c r="H30"/>
  <c r="E40"/>
  <c r="E41" i="8"/>
  <c r="E39"/>
  <c r="H28"/>
  <c r="E41" i="7"/>
  <c r="E39"/>
  <c r="H30" i="6"/>
  <c r="E42"/>
  <c r="C42" s="1"/>
  <c r="E40"/>
  <c r="H31"/>
  <c r="H28" i="5"/>
  <c r="H32"/>
  <c r="H30"/>
  <c r="E41" i="4"/>
  <c r="E39"/>
  <c r="H31"/>
  <c r="H27"/>
  <c r="C40" i="2"/>
  <c r="F36" i="3"/>
  <c r="F32"/>
  <c r="F30"/>
  <c r="F28"/>
  <c r="F35"/>
  <c r="H35" s="1"/>
  <c r="F31"/>
  <c r="F33"/>
  <c r="F29"/>
  <c r="G27"/>
  <c r="G36"/>
  <c r="G32"/>
  <c r="H32" s="1"/>
  <c r="G30"/>
  <c r="G31"/>
  <c r="H31" s="1"/>
  <c r="G33"/>
  <c r="G29"/>
  <c r="H29" s="1"/>
  <c r="G28"/>
  <c r="H29" i="4"/>
  <c r="E42"/>
  <c r="C42" s="1"/>
  <c r="G36" i="13"/>
  <c r="F27" i="3"/>
  <c r="C37" i="11"/>
  <c r="G36" i="21"/>
  <c r="C40" i="18"/>
  <c r="C40" i="15"/>
  <c r="G27" i="2"/>
  <c r="G28"/>
  <c r="H28" s="1"/>
  <c r="G35"/>
  <c r="H35" s="1"/>
  <c r="G33"/>
  <c r="G32"/>
  <c r="G31"/>
  <c r="H31" s="1"/>
  <c r="G30"/>
  <c r="H30" s="1"/>
  <c r="G29"/>
  <c r="C40" i="21"/>
  <c r="G36" i="17"/>
  <c r="C42"/>
  <c r="C42" i="15"/>
  <c r="C41" i="14"/>
  <c r="F36" i="13"/>
  <c r="C40"/>
  <c r="C40" i="12"/>
  <c r="E43"/>
  <c r="C43" s="1"/>
  <c r="H35" i="9"/>
  <c r="G36"/>
  <c r="C40"/>
  <c r="G35" i="8"/>
  <c r="C39" i="7"/>
  <c r="C40" i="6"/>
  <c r="C39" i="4"/>
  <c r="H29" i="5"/>
  <c r="H33"/>
  <c r="E43"/>
  <c r="C43" s="1"/>
  <c r="C40"/>
  <c r="C39" i="11"/>
  <c r="E40"/>
  <c r="C40" s="1"/>
  <c r="C39" i="8"/>
  <c r="C42" i="18"/>
  <c r="E43"/>
  <c r="C43" s="1"/>
  <c r="H28" i="9"/>
  <c r="H32"/>
  <c r="H29" i="8"/>
  <c r="H34"/>
  <c r="H36" i="15"/>
  <c r="G36" i="6"/>
  <c r="H26" i="4"/>
  <c r="F35"/>
  <c r="G35"/>
  <c r="H29" i="2"/>
  <c r="H26" i="21"/>
  <c r="F36"/>
  <c r="H35"/>
  <c r="H26" i="20"/>
  <c r="F36"/>
  <c r="G36"/>
  <c r="H26" i="19"/>
  <c r="H35" s="1"/>
  <c r="F35"/>
  <c r="G35"/>
  <c r="G36" i="18"/>
  <c r="H26"/>
  <c r="F36"/>
  <c r="H28"/>
  <c r="H30"/>
  <c r="H32"/>
  <c r="H27"/>
  <c r="H29"/>
  <c r="H31"/>
  <c r="H26" i="17"/>
  <c r="H36" s="1"/>
  <c r="F36"/>
  <c r="F36" i="15"/>
  <c r="G36"/>
  <c r="H27" i="14"/>
  <c r="H29"/>
  <c r="H31"/>
  <c r="H32"/>
  <c r="H26"/>
  <c r="H28"/>
  <c r="H30"/>
  <c r="H34"/>
  <c r="G35"/>
  <c r="H26" i="13"/>
  <c r="H28"/>
  <c r="H30"/>
  <c r="H32"/>
  <c r="H27"/>
  <c r="H29"/>
  <c r="H31"/>
  <c r="H35"/>
  <c r="H27" i="12"/>
  <c r="H29"/>
  <c r="H31"/>
  <c r="H35"/>
  <c r="H33"/>
  <c r="H28"/>
  <c r="H30"/>
  <c r="H32"/>
  <c r="F36"/>
  <c r="G36"/>
  <c r="H33" i="11"/>
  <c r="F33"/>
  <c r="H27" i="9"/>
  <c r="F36"/>
  <c r="H26" i="8"/>
  <c r="F35"/>
  <c r="H26" i="7"/>
  <c r="H28"/>
  <c r="H30"/>
  <c r="H34"/>
  <c r="H32"/>
  <c r="H27"/>
  <c r="H31"/>
  <c r="F35"/>
  <c r="G35"/>
  <c r="H28" i="6"/>
  <c r="H27"/>
  <c r="F36"/>
  <c r="F36" i="5"/>
  <c r="H27"/>
  <c r="H36" s="1"/>
  <c r="G36"/>
  <c r="H28" i="3"/>
  <c r="H30"/>
  <c r="H36" i="20" l="1"/>
  <c r="E43" i="17"/>
  <c r="C43" s="1"/>
  <c r="H35" i="8"/>
  <c r="C42" i="5"/>
  <c r="H35" i="4"/>
  <c r="C41"/>
  <c r="E43" i="3"/>
  <c r="E41"/>
  <c r="H33"/>
  <c r="H36"/>
  <c r="E42" i="2"/>
  <c r="C41" i="3"/>
  <c r="F37"/>
  <c r="H36" i="9"/>
  <c r="G37" i="3"/>
  <c r="H36" i="21"/>
  <c r="E43" i="15"/>
  <c r="C43" s="1"/>
  <c r="H35" i="7"/>
  <c r="E42" i="14"/>
  <c r="C42" s="1"/>
  <c r="C42" i="12"/>
  <c r="E43" i="21"/>
  <c r="C43" s="1"/>
  <c r="C42"/>
  <c r="E42" i="19"/>
  <c r="C42" s="1"/>
  <c r="C41"/>
  <c r="E43" i="13"/>
  <c r="C43" s="1"/>
  <c r="C42"/>
  <c r="C42" i="9"/>
  <c r="E43"/>
  <c r="C43" s="1"/>
  <c r="E42" i="8"/>
  <c r="C42" s="1"/>
  <c r="C41"/>
  <c r="E43" i="6"/>
  <c r="C43" s="1"/>
  <c r="E43" i="20"/>
  <c r="C41" i="7"/>
  <c r="E42"/>
  <c r="C42" s="1"/>
  <c r="H36" i="6"/>
  <c r="H33" i="2"/>
  <c r="H32"/>
  <c r="G36"/>
  <c r="H27"/>
  <c r="F36"/>
  <c r="H35" i="18"/>
  <c r="H36"/>
  <c r="H35" i="14"/>
  <c r="H36" i="13"/>
  <c r="H36" i="12"/>
  <c r="H27" i="3"/>
  <c r="H37" s="1"/>
  <c r="E44" l="1"/>
  <c r="C44" s="1"/>
  <c r="C43"/>
  <c r="E43" i="2"/>
  <c r="C43" s="1"/>
  <c r="C42"/>
  <c r="H36"/>
  <c r="H28" i="1" l="1"/>
  <c r="H36"/>
  <c r="H29" l="1"/>
  <c r="H34"/>
  <c r="H32"/>
  <c r="H30"/>
  <c r="F37" l="1"/>
  <c r="H33" l="1"/>
  <c r="H37" s="1"/>
</calcChain>
</file>

<file path=xl/sharedStrings.xml><?xml version="1.0" encoding="utf-8"?>
<sst xmlns="http://schemas.openxmlformats.org/spreadsheetml/2006/main" count="1863" uniqueCount="192">
  <si>
    <t>• Адрес МКД</t>
  </si>
  <si>
    <t>• Год постройки</t>
  </si>
  <si>
    <t>• Этажность</t>
  </si>
  <si>
    <t>• Количество квартир</t>
  </si>
  <si>
    <t>• Общая площадь дома с учетом помещений
общего пользования</t>
  </si>
  <si>
    <t>• Общая площадь жилых помещений</t>
  </si>
  <si>
    <t>• Общая площадь нежилых помещений</t>
  </si>
  <si>
    <t>0 кв. м.</t>
  </si>
  <si>
    <t>• Площадь придомовой территории,
входящей в состав общего имущества МКД</t>
  </si>
  <si>
    <t>Содержание общего
имущества МКД (руб.)</t>
  </si>
  <si>
    <t>Текущий ремонт 
общего имущества 
МКД (руб.)</t>
  </si>
  <si>
    <t>1. Начислено</t>
  </si>
  <si>
    <t>2. Оплачено</t>
  </si>
  <si>
    <t>Я. И. Егоров</t>
  </si>
  <si>
    <t>Харьковская 60</t>
  </si>
  <si>
    <t>2767,8 кв. м.</t>
  </si>
  <si>
    <t>352 кв. м. - асфальт</t>
  </si>
  <si>
    <t>Харьковская 62</t>
  </si>
  <si>
    <t>2769,5 кв. м.</t>
  </si>
  <si>
    <t>3684,1 кв. м. - грунт;
1193,7 кв. м. - асфальт</t>
  </si>
  <si>
    <t>Харьковская 62а</t>
  </si>
  <si>
    <t>3415,9 кв. м.</t>
  </si>
  <si>
    <t>Харьковская 68</t>
  </si>
  <si>
    <t>2112,3 кв. м.</t>
  </si>
  <si>
    <t>43,9 кв. м.</t>
  </si>
  <si>
    <t>1742,3 кв. м. - грунт;
281 кв. м. - асфальт</t>
  </si>
  <si>
    <t>Харьковская 68а</t>
  </si>
  <si>
    <t>2122,2 кв. м.</t>
  </si>
  <si>
    <t>1870,8 кв. м. - грунт;
281 кв. м. - асфальт</t>
  </si>
  <si>
    <t>Харьковская 70</t>
  </si>
  <si>
    <t>1576,1 кв. м.</t>
  </si>
  <si>
    <t>Харьковская 70а</t>
  </si>
  <si>
    <t>1571,9 кв. м.</t>
  </si>
  <si>
    <t>2403 кв. м. - грунт;
210 кв. м. - асфальт</t>
  </si>
  <si>
    <t>Харьковская 72</t>
  </si>
  <si>
    <t>2705,4 кв. м.</t>
  </si>
  <si>
    <t>170,3 кв. м.</t>
  </si>
  <si>
    <t>Харьковская 72а</t>
  </si>
  <si>
    <t>1589,3 кв. м.</t>
  </si>
  <si>
    <t>1869,8 кв. м. - грунт;
210 кв. м. - асфальт</t>
  </si>
  <si>
    <t>Харьковская 80</t>
  </si>
  <si>
    <t>1570,79 кв. м.</t>
  </si>
  <si>
    <t>89 кв. м.</t>
  </si>
  <si>
    <t>3237,6 кв. м. - грунт;
210 кв. м. - асфальт</t>
  </si>
  <si>
    <t>Харьковская 82</t>
  </si>
  <si>
    <t>2742,8 кв. м.</t>
  </si>
  <si>
    <t>5145 кв. м. - грунт;
352 кв. м. - асфальт</t>
  </si>
  <si>
    <t>Харьковская 84в</t>
  </si>
  <si>
    <t>2041 кв. м.</t>
  </si>
  <si>
    <t>Харьковская 86а</t>
  </si>
  <si>
    <t>2219,1 кв. м.</t>
  </si>
  <si>
    <t>2057,9 кв. м. - грунт;
454,2 кв. м. - асфальт</t>
  </si>
  <si>
    <t>Харьковская 88</t>
  </si>
  <si>
    <t>2134 кв. м.</t>
  </si>
  <si>
    <t>2122 кв. м. - грунт;
281 кв. м. - асфальт</t>
  </si>
  <si>
    <t>Харьковская 92</t>
  </si>
  <si>
    <t>1581,2 кв. м.</t>
  </si>
  <si>
    <t>2602,5 кв. м. - грунт;
342,9 кв. м. - асфальт</t>
  </si>
  <si>
    <t>Харьковская 92а</t>
  </si>
  <si>
    <t>1559 кв. м.</t>
  </si>
  <si>
    <t>55,4 кв. м.</t>
  </si>
  <si>
    <t>2053,3 кв. м. - грунт;
210 кв. м. - асфальт</t>
  </si>
  <si>
    <t>Харьковская 94</t>
  </si>
  <si>
    <t>1618,9 кв. м.</t>
  </si>
  <si>
    <t>2096,7 кв. м. - грунт;
277,3 кв. м. - асфальт</t>
  </si>
  <si>
    <t>Харьковская 96</t>
  </si>
  <si>
    <t>2742,1 кв. м.</t>
  </si>
  <si>
    <t xml:space="preserve"> кв. м.</t>
  </si>
  <si>
    <t xml:space="preserve"> кв. м. - грунт;кв. м. - асфальт</t>
  </si>
  <si>
    <t>Харьковская 96а</t>
  </si>
  <si>
    <t>1568,3 кв. м.</t>
  </si>
  <si>
    <t xml:space="preserve"> 0 кв. м.</t>
  </si>
  <si>
    <t>2525 кв. м. - грунт;
287,1 кв. м. - асфальт</t>
  </si>
  <si>
    <t>Харьковская 98</t>
  </si>
  <si>
    <t>2821,6 кв. м.</t>
  </si>
  <si>
    <t>Харьковская 100</t>
  </si>
  <si>
    <t>2706,9 кв. м.</t>
  </si>
  <si>
    <t>4323 кв. м. - грунт;
352 кв. м. - асфальт</t>
  </si>
  <si>
    <t>Директор ООО "Партнер-1"</t>
  </si>
  <si>
    <t>Главный бухгалтер ООО "Партнер-1"</t>
  </si>
  <si>
    <t>Экономист ООО "Партнер-1"</t>
  </si>
  <si>
    <t>Инженер по ремонту ООО "Партнер-1"</t>
  </si>
  <si>
    <t>Плановые затраты (руб.)</t>
  </si>
  <si>
    <t>Фактические затраты (руб.)</t>
  </si>
  <si>
    <t>Транспортные расходы при санитарной очистке территорий</t>
  </si>
  <si>
    <t>Техническое обслуживание внутридомового газового 
оборудования</t>
  </si>
  <si>
    <t>Рентабельность</t>
  </si>
  <si>
    <r>
      <rPr>
        <b/>
        <sz val="10"/>
        <color theme="1"/>
        <rFont val="Times New Roman"/>
        <family val="1"/>
        <charset val="204"/>
      </rPr>
      <t>Санитарное содержание лестничных клеток: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инвентарь.</t>
    </r>
  </si>
  <si>
    <r>
      <rPr>
        <b/>
        <sz val="10"/>
        <color theme="1"/>
        <rFont val="Times New Roman"/>
        <family val="1"/>
        <charset val="204"/>
      </rPr>
      <t>Содержание аварийно-диспетчерской службы: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</si>
  <si>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t>3.Выполнено</t>
  </si>
  <si>
    <t>Итого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</si>
  <si>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</si>
  <si>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t xml:space="preserve">Текущий ремонт </t>
  </si>
  <si>
    <t>Обслуживание ОПУ тепловой энергии</t>
  </si>
  <si>
    <t>Т. В. Павлова</t>
  </si>
  <si>
    <t>Виды работ и затрат</t>
  </si>
  <si>
    <t>Н.Е. Горбатенко</t>
  </si>
  <si>
    <t>периодичность выполнения работ и услуг</t>
  </si>
  <si>
    <t>стоимость выполненной работы/оказанной услуги</t>
  </si>
  <si>
    <t>согласно договора  управления МКД</t>
  </si>
  <si>
    <t>руб.</t>
  </si>
  <si>
    <t xml:space="preserve">согласно договора  </t>
  </si>
  <si>
    <t>постоянно</t>
  </si>
  <si>
    <t>начислено всего</t>
  </si>
  <si>
    <r>
      <rPr>
        <b/>
        <sz val="10"/>
        <color theme="1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color theme="1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</si>
  <si>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t>3187.2 кв. м</t>
  </si>
  <si>
    <t>1850.6 кв. м.</t>
  </si>
  <si>
    <t>1995,6 кв. м.</t>
  </si>
  <si>
    <t>1471,2 кв. м</t>
  </si>
  <si>
    <t>1495,1 кв. м</t>
  </si>
  <si>
    <t>2349,1 кв. м</t>
  </si>
  <si>
    <t>1511,7 кв. м.</t>
  </si>
  <si>
    <t>1389.1 кв. м</t>
  </si>
  <si>
    <t>единица измерения работы/       услуги</t>
  </si>
  <si>
    <t>2567,1 кв. м</t>
  </si>
  <si>
    <t>2065.0 кв. м.</t>
  </si>
  <si>
    <t>1993,5 кв. м.</t>
  </si>
  <si>
    <t>1413,4 кв. м.</t>
  </si>
  <si>
    <t>2622,7 кв. м.</t>
  </si>
  <si>
    <t>единица измерения работы/              услуги</t>
  </si>
  <si>
    <t>единица измерения работы/          услуги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</si>
  <si>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инвентарь;
- покос сорных трав</t>
    </r>
  </si>
  <si>
    <t>единица измерения работы/           услуги</t>
  </si>
  <si>
    <t>единица измерения работы/        услуги</t>
  </si>
  <si>
    <t>единица измерения работы/     услуги</t>
  </si>
  <si>
    <t>Приложение № 1</t>
  </si>
  <si>
    <t>Приложение № 4</t>
  </si>
  <si>
    <t>к протоколу №____общего собрания собственников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</si>
  <si>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</si>
  <si>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t>Разница                       (+) экономия, (-) долг</t>
  </si>
  <si>
    <t>2580.1 кв. м</t>
  </si>
  <si>
    <t>2569.3 кв. м</t>
  </si>
  <si>
    <t>1806.1 кв. м</t>
  </si>
  <si>
    <t>1492.1 кв. м</t>
  </si>
  <si>
    <t>1476,3 кв. м</t>
  </si>
  <si>
    <t>2551.9 кв. м</t>
  </si>
  <si>
    <t>1479,1 кв. м</t>
  </si>
  <si>
    <t>2357,2 кв. м</t>
  </si>
  <si>
    <t>встроенные</t>
  </si>
  <si>
    <t>161,6 кв. м</t>
  </si>
  <si>
    <t>сод.жилья</t>
  </si>
  <si>
    <t>тек. ремонт</t>
  </si>
  <si>
    <t>42,5 кв. м.</t>
  </si>
  <si>
    <t>согласно договора  оказания услуг по содержанию и выполнению работ по ремонту общего имущества МКД</t>
  </si>
  <si>
    <t>круглосуточно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</si>
  <si>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                            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</si>
  <si>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         -затраты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</si>
  <si>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         -амортизация;       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</si>
  <si>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rFont val="Times New Roman"/>
        <family val="1"/>
        <charset val="204"/>
      </rPr>
      <t>Санитарное содержание лестничных клеток:</t>
    </r>
    <r>
      <rPr>
        <sz val="10"/>
        <rFont val="Times New Roman"/>
        <family val="1"/>
        <charset val="204"/>
      </rPr>
      <t xml:space="preserve">
- оплата труда рабочих;
- затраты на материалы, инвентарь.</t>
    </r>
  </si>
  <si>
    <r>
      <rPr>
        <b/>
        <sz val="10"/>
        <rFont val="Times New Roman"/>
        <family val="1"/>
        <charset val="204"/>
      </rPr>
      <t>Санитарное содержание придомовой территории:</t>
    </r>
    <r>
      <rPr>
        <sz val="10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</si>
  <si>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r>
      <rPr>
        <b/>
        <sz val="10"/>
        <rFont val="Times New Roman"/>
        <family val="1"/>
        <charset val="204"/>
      </rPr>
      <t>Содержание аварийно-диспетчерской службы:</t>
    </r>
    <r>
      <rPr>
        <sz val="10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</si>
  <si>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r>
      <rPr>
        <b/>
        <sz val="10"/>
        <rFont val="Times New Roman"/>
        <family val="1"/>
        <charset val="204"/>
      </rPr>
      <t>Общеэксплуатационные расходы:</t>
    </r>
    <r>
      <rPr>
        <sz val="10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</si>
  <si>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</si>
  <si>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r>
      <t>4.Остаток на начало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</si>
  <si>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r>
      <t>4.Остаток на конец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 (долг); "+" - недовыполнено работ (экономия))</t>
    </r>
  </si>
  <si>
    <t>начислено содержание жилья</t>
  </si>
  <si>
    <t>факт содержание жилья</t>
  </si>
  <si>
    <t>_________________________</t>
  </si>
  <si>
    <t>__________________________</t>
  </si>
  <si>
    <t>помещения МКД № 60 по ул. Харьковская, г. Новошахтинска</t>
  </si>
  <si>
    <t>помещения МКД № 62  по ул.Харьковская, г. Новошахтинска</t>
  </si>
  <si>
    <t>помещения МКД № 62А по ул. Харьковская, г. Новошахтинска</t>
  </si>
  <si>
    <t>помещения МКД № 68 по ул. Харьковская, г. Новошахтинска</t>
  </si>
  <si>
    <t>помещения МКД № 68А по ул. Харьковская, г. Новошахтинска</t>
  </si>
  <si>
    <t>помещения МКД № 70 по ул. Харьковская, г. Новошахтинска</t>
  </si>
  <si>
    <t>помещения МКД № 70А по ул. Харьковская, г. Новошахтинска</t>
  </si>
  <si>
    <t>помещения МКД № 72 по ул. Харьковская, г. Новошахтинска</t>
  </si>
  <si>
    <t>помещения МКД № 72А по ул. Харьковская, г. Новошахтинска</t>
  </si>
  <si>
    <t>помещения МКД № 82 по ул. Харьковская, г. Новошахтинска</t>
  </si>
  <si>
    <t>помещения МКД № 84В по ул. Харьковская, г. Новошахтинска</t>
  </si>
  <si>
    <t>помещения МКД № 86А по ул. Харьковская, г. Новошахтинска</t>
  </si>
  <si>
    <t>помещения МКД № 88 по ул. Харьковская, г. Новошахтинска</t>
  </si>
  <si>
    <t>помещения МКД № 92 по ул. Харьковская, г. Новошахтинска</t>
  </si>
  <si>
    <t>помещения МКД № 92А по ул. Харьковская, г. Новошахтинска</t>
  </si>
  <si>
    <t>помещения МКД № 94 по ул. Харьковская, г. Новошахтинска</t>
  </si>
  <si>
    <t>помещения МКД № 96 по ул. Харьковская г. Новошахтинска</t>
  </si>
  <si>
    <t>помещения МКД № 96А по ул. Харьковская, г. Новошахтинска</t>
  </si>
  <si>
    <t>помещения МКД № 98 по ул. Харьковская, г. Новошахтинска</t>
  </si>
  <si>
    <t>помещения МКД № 100  по ул. Харьковская, г. Новошахтинска</t>
  </si>
  <si>
    <t>Валка деревьев</t>
  </si>
  <si>
    <t>по заявкам</t>
  </si>
  <si>
    <t>Валка  деревьев</t>
  </si>
  <si>
    <t>Переходящие остатки денежных средств на 01.01.2019 года</t>
  </si>
  <si>
    <t>период с 01.07.2013 года по 31.12.2018 года</t>
  </si>
  <si>
    <t>Ежегодный отчет Управляющей организации ООО "Партнер-1" о выполнении Договора о деятельности за отчетный период с 01.01.2019 г. по 31.12.2019 г.</t>
  </si>
  <si>
    <t>Отчет об оказанных услугах и выполненных работах по содержанию и текущему ремонту общего имущества в МКД за 2019 год</t>
  </si>
  <si>
    <t>ст-ть на 1 кв. м общей жилой  площади (руб. в мес.)  2019</t>
  </si>
  <si>
    <t>Переходящие остатки денежных средств на 01.01.2020 года</t>
  </si>
  <si>
    <t>период с 01.07.2013 года по 31.12.2019 года</t>
  </si>
  <si>
    <t>Ежегодный отчет  ООО "Партнер-1" о выполнении Договора о деятельности за отчетный период с 01.01.2019 г. по 31.12.2019г.</t>
  </si>
  <si>
    <t>период с 01.07.2013 года по 31.12.20178года</t>
  </si>
  <si>
    <t>от _______________________2020 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</si>
</sst>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6">
    <xf numFmtId="0" fontId="0" fillId="0" borderId="0" xfId="0"/>
    <xf numFmtId="0" fontId="2" fillId="0" borderId="0" xfId="0" applyFont="1" applyFill="1"/>
    <xf numFmtId="0" fontId="2" fillId="0" borderId="9" xfId="0" applyFont="1" applyFill="1" applyBorder="1"/>
    <xf numFmtId="0" fontId="4" fillId="0" borderId="0" xfId="0" applyFont="1" applyFill="1"/>
    <xf numFmtId="0" fontId="2" fillId="0" borderId="0" xfId="0" applyFont="1" applyFill="1" applyAlignment="1">
      <alignment horizontal="center" vertical="center"/>
    </xf>
    <xf numFmtId="2" fontId="2" fillId="0" borderId="9" xfId="0" applyNumberFormat="1" applyFont="1" applyFill="1" applyBorder="1"/>
    <xf numFmtId="2" fontId="4" fillId="0" borderId="0" xfId="0" applyNumberFormat="1" applyFont="1" applyFill="1"/>
    <xf numFmtId="2" fontId="2" fillId="0" borderId="0" xfId="0" applyNumberFormat="1" applyFont="1" applyFill="1"/>
    <xf numFmtId="0" fontId="5" fillId="0" borderId="0" xfId="0" applyFont="1" applyFill="1"/>
    <xf numFmtId="2" fontId="5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vertical="top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/>
    <xf numFmtId="0" fontId="5" fillId="0" borderId="7" xfId="0" applyFont="1" applyFill="1" applyBorder="1" applyAlignment="1">
      <alignment vertical="top" wrapText="1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7" xfId="0" applyFont="1" applyFill="1" applyBorder="1" applyAlignment="1">
      <alignment vertical="top" wrapText="1"/>
    </xf>
    <xf numFmtId="0" fontId="2" fillId="0" borderId="0" xfId="0" applyFont="1" applyFill="1" applyBorder="1"/>
    <xf numFmtId="0" fontId="10" fillId="0" borderId="8" xfId="0" applyFont="1" applyFill="1" applyBorder="1" applyAlignment="1">
      <alignment horizontal="left" wrapText="1"/>
    </xf>
    <xf numFmtId="0" fontId="3" fillId="0" borderId="47" xfId="0" applyFont="1" applyFill="1" applyBorder="1"/>
    <xf numFmtId="0" fontId="10" fillId="0" borderId="43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center" vertical="center" wrapText="1"/>
    </xf>
    <xf numFmtId="2" fontId="5" fillId="0" borderId="44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0" applyFont="1" applyFill="1" applyBorder="1"/>
    <xf numFmtId="2" fontId="3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46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/>
    <xf numFmtId="2" fontId="5" fillId="0" borderId="0" xfId="0" applyNumberFormat="1" applyFont="1" applyFill="1" applyBorder="1" applyAlignment="1"/>
    <xf numFmtId="2" fontId="5" fillId="0" borderId="0" xfId="0" applyNumberFormat="1" applyFont="1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 wrapText="1"/>
    </xf>
    <xf numFmtId="0" fontId="3" fillId="0" borderId="47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2" fontId="12" fillId="0" borderId="0" xfId="0" applyNumberFormat="1" applyFont="1" applyFill="1"/>
    <xf numFmtId="0" fontId="17" fillId="0" borderId="1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vertical="top" wrapText="1"/>
    </xf>
    <xf numFmtId="0" fontId="18" fillId="0" borderId="26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2" fontId="13" fillId="0" borderId="31" xfId="0" applyNumberFormat="1" applyFont="1" applyFill="1" applyBorder="1" applyAlignment="1">
      <alignment horizontal="center" vertical="center"/>
    </xf>
    <xf numFmtId="2" fontId="13" fillId="0" borderId="7" xfId="0" applyNumberFormat="1" applyFont="1" applyFill="1" applyBorder="1" applyAlignment="1">
      <alignment horizontal="center" vertical="center" wrapText="1"/>
    </xf>
    <xf numFmtId="2" fontId="13" fillId="0" borderId="30" xfId="0" applyNumberFormat="1" applyFont="1" applyFill="1" applyBorder="1" applyAlignment="1">
      <alignment horizontal="center" vertical="center" wrapText="1"/>
    </xf>
    <xf numFmtId="2" fontId="16" fillId="0" borderId="2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2" fontId="16" fillId="0" borderId="0" xfId="0" applyNumberFormat="1" applyFont="1" applyFill="1"/>
    <xf numFmtId="0" fontId="13" fillId="0" borderId="7" xfId="0" applyFont="1" applyFill="1" applyBorder="1" applyAlignment="1">
      <alignment vertical="top" wrapText="1"/>
    </xf>
    <xf numFmtId="2" fontId="13" fillId="0" borderId="15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/>
    <xf numFmtId="2" fontId="15" fillId="0" borderId="0" xfId="0" applyNumberFormat="1" applyFont="1" applyFill="1"/>
    <xf numFmtId="0" fontId="16" fillId="0" borderId="7" xfId="0" applyFont="1" applyFill="1" applyBorder="1" applyAlignment="1">
      <alignment vertical="top" wrapText="1"/>
    </xf>
    <xf numFmtId="0" fontId="12" fillId="0" borderId="0" xfId="0" applyFont="1" applyFill="1" applyBorder="1"/>
    <xf numFmtId="0" fontId="19" fillId="0" borderId="8" xfId="0" applyFont="1" applyFill="1" applyBorder="1" applyAlignment="1">
      <alignment horizontal="left" wrapText="1"/>
    </xf>
    <xf numFmtId="0" fontId="19" fillId="0" borderId="26" xfId="0" applyFont="1" applyFill="1" applyBorder="1" applyAlignment="1">
      <alignment horizontal="left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vertical="top" wrapText="1"/>
    </xf>
    <xf numFmtId="0" fontId="19" fillId="0" borderId="43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center" vertical="center" wrapText="1"/>
    </xf>
    <xf numFmtId="2" fontId="13" fillId="0" borderId="44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16" fillId="0" borderId="2" xfId="0" applyFont="1" applyFill="1" applyBorder="1"/>
    <xf numFmtId="2" fontId="16" fillId="0" borderId="2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46" xfId="0" applyNumberFormat="1" applyFont="1" applyFill="1" applyBorder="1" applyAlignment="1">
      <alignment horizontal="center" vertical="center"/>
    </xf>
    <xf numFmtId="2" fontId="16" fillId="0" borderId="22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0" fontId="13" fillId="0" borderId="37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2" fontId="13" fillId="0" borderId="37" xfId="0" applyNumberFormat="1" applyFont="1" applyFill="1" applyBorder="1" applyAlignment="1"/>
    <xf numFmtId="2" fontId="13" fillId="0" borderId="0" xfId="0" applyNumberFormat="1" applyFont="1" applyFill="1" applyBorder="1" applyAlignment="1"/>
    <xf numFmtId="0" fontId="13" fillId="0" borderId="0" xfId="0" applyFont="1" applyFill="1" applyBorder="1"/>
    <xf numFmtId="0" fontId="13" fillId="0" borderId="0" xfId="0" applyFont="1" applyFill="1"/>
    <xf numFmtId="2" fontId="13" fillId="0" borderId="0" xfId="0" applyNumberFormat="1" applyFont="1" applyFill="1" applyBorder="1"/>
    <xf numFmtId="0" fontId="1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vertical="center" wrapText="1"/>
    </xf>
    <xf numFmtId="0" fontId="16" fillId="0" borderId="0" xfId="0" applyFont="1" applyFill="1" applyAlignment="1"/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0" fontId="10" fillId="0" borderId="8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12" xfId="0" applyFont="1" applyFill="1" applyBorder="1"/>
    <xf numFmtId="2" fontId="3" fillId="0" borderId="16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3" fillId="0" borderId="28" xfId="0" applyFont="1" applyFill="1" applyBorder="1" applyAlignment="1"/>
    <xf numFmtId="0" fontId="4" fillId="0" borderId="0" xfId="0" applyFont="1" applyFill="1" applyBorder="1" applyAlignment="1">
      <alignment horizontal="center" wrapText="1" shrinkToFit="1"/>
    </xf>
    <xf numFmtId="0" fontId="11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0" applyNumberFormat="1" applyFont="1" applyFill="1" applyBorder="1" applyAlignment="1">
      <alignment horizontal="center" wrapText="1"/>
    </xf>
    <xf numFmtId="2" fontId="3" fillId="0" borderId="28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2" fontId="3" fillId="0" borderId="50" xfId="0" applyNumberFormat="1" applyFont="1" applyFill="1" applyBorder="1" applyAlignment="1">
      <alignment horizontal="center" vertical="center"/>
    </xf>
    <xf numFmtId="2" fontId="3" fillId="0" borderId="49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/>
    <xf numFmtId="0" fontId="5" fillId="0" borderId="7" xfId="0" applyFont="1" applyFill="1" applyBorder="1"/>
    <xf numFmtId="0" fontId="5" fillId="0" borderId="23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28" xfId="0" applyFont="1" applyFill="1" applyBorder="1" applyAlignment="1">
      <alignment wrapText="1"/>
    </xf>
    <xf numFmtId="2" fontId="3" fillId="0" borderId="28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3" fillId="0" borderId="37" xfId="0" applyNumberFormat="1" applyFont="1" applyFill="1" applyBorder="1" applyAlignment="1">
      <alignment horizontal="center"/>
    </xf>
    <xf numFmtId="0" fontId="10" fillId="0" borderId="0" xfId="0" applyFont="1" applyFill="1"/>
    <xf numFmtId="2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wrapText="1"/>
    </xf>
    <xf numFmtId="2" fontId="10" fillId="0" borderId="0" xfId="0" applyNumberFormat="1" applyFont="1" applyFill="1" applyAlignment="1">
      <alignment horizontal="center" vertical="center" wrapText="1"/>
    </xf>
    <xf numFmtId="165" fontId="10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 wrapText="1"/>
    </xf>
    <xf numFmtId="0" fontId="10" fillId="0" borderId="26" xfId="0" applyFont="1" applyFill="1" applyBorder="1" applyAlignment="1">
      <alignment horizontal="left" wrapText="1"/>
    </xf>
    <xf numFmtId="0" fontId="3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2" fontId="12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2" fontId="5" fillId="0" borderId="18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15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3" fillId="0" borderId="2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2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4" fillId="0" borderId="27" xfId="0" applyFont="1" applyFill="1" applyBorder="1" applyAlignment="1">
      <alignment horizontal="center" wrapText="1" shrinkToFit="1"/>
    </xf>
    <xf numFmtId="2" fontId="11" fillId="0" borderId="41" xfId="0" applyNumberFormat="1" applyFont="1" applyFill="1" applyBorder="1" applyAlignment="1">
      <alignment horizontal="center" vertical="center" wrapText="1"/>
    </xf>
    <xf numFmtId="2" fontId="11" fillId="0" borderId="42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2" fontId="5" fillId="0" borderId="44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2" fontId="5" fillId="0" borderId="43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40" xfId="0" applyFont="1" applyFill="1" applyBorder="1" applyAlignment="1">
      <alignment horizontal="center" vertical="center" wrapText="1" shrinkToFit="1"/>
    </xf>
    <xf numFmtId="0" fontId="11" fillId="0" borderId="32" xfId="0" applyFont="1" applyFill="1" applyBorder="1" applyAlignment="1">
      <alignment horizontal="center" vertical="center" wrapText="1" shrinkToFit="1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wrapText="1" shrinkToFit="1"/>
    </xf>
    <xf numFmtId="0" fontId="11" fillId="0" borderId="34" xfId="0" applyFont="1" applyFill="1" applyBorder="1" applyAlignment="1">
      <alignment horizontal="center" vertical="center" wrapText="1" shrinkToFi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2" fontId="5" fillId="0" borderId="4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2" fontId="5" fillId="0" borderId="2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center" vertical="center" wrapText="1" shrinkToFit="1"/>
    </xf>
    <xf numFmtId="0" fontId="17" fillId="0" borderId="34" xfId="0" applyFont="1" applyFill="1" applyBorder="1" applyAlignment="1">
      <alignment horizontal="center" vertical="center" wrapText="1" shrinkToFit="1"/>
    </xf>
    <xf numFmtId="0" fontId="17" fillId="0" borderId="40" xfId="0" applyFont="1" applyFill="1" applyBorder="1" applyAlignment="1">
      <alignment horizontal="center" vertical="center" wrapText="1" shrinkToFit="1"/>
    </xf>
    <xf numFmtId="0" fontId="17" fillId="0" borderId="32" xfId="0" applyFont="1" applyFill="1" applyBorder="1" applyAlignment="1">
      <alignment horizontal="center" vertical="center" wrapText="1" shrinkToFit="1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vertical="center"/>
    </xf>
    <xf numFmtId="0" fontId="21" fillId="0" borderId="27" xfId="0" applyFont="1" applyFill="1" applyBorder="1" applyAlignment="1">
      <alignment horizontal="center" wrapText="1" shrinkToFit="1"/>
    </xf>
    <xf numFmtId="0" fontId="16" fillId="0" borderId="35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45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22" fillId="0" borderId="9" xfId="0" applyFont="1" applyFill="1" applyBorder="1"/>
    <xf numFmtId="164" fontId="22" fillId="0" borderId="9" xfId="0" applyNumberFormat="1" applyFont="1" applyFill="1" applyBorder="1"/>
    <xf numFmtId="2" fontId="22" fillId="0" borderId="9" xfId="0" applyNumberFormat="1" applyFont="1" applyFill="1" applyBorder="1"/>
    <xf numFmtId="0" fontId="23" fillId="0" borderId="0" xfId="0" applyFont="1" applyFill="1"/>
    <xf numFmtId="0" fontId="22" fillId="0" borderId="0" xfId="0" applyFont="1" applyFill="1" applyAlignment="1">
      <alignment horizontal="center" vertical="center"/>
    </xf>
    <xf numFmtId="2" fontId="24" fillId="0" borderId="0" xfId="0" applyNumberFormat="1" applyFont="1" applyFill="1"/>
    <xf numFmtId="0" fontId="24" fillId="0" borderId="0" xfId="0" applyFont="1" applyFill="1"/>
    <xf numFmtId="0" fontId="25" fillId="0" borderId="0" xfId="0" applyFont="1" applyFill="1" applyBorder="1" applyAlignment="1">
      <alignment horizontal="center" wrapText="1"/>
    </xf>
    <xf numFmtId="0" fontId="24" fillId="0" borderId="0" xfId="0" applyFont="1" applyFill="1" applyBorder="1"/>
    <xf numFmtId="0" fontId="24" fillId="0" borderId="0" xfId="0" applyFont="1" applyFill="1" applyBorder="1" applyAlignment="1">
      <alignment wrapText="1"/>
    </xf>
    <xf numFmtId="2" fontId="22" fillId="0" borderId="0" xfId="0" applyNumberFormat="1" applyFont="1" applyFill="1"/>
    <xf numFmtId="2" fontId="25" fillId="0" borderId="0" xfId="0" applyNumberFormat="1" applyFont="1" applyFill="1"/>
    <xf numFmtId="2" fontId="23" fillId="0" borderId="0" xfId="0" applyNumberFormat="1" applyFont="1" applyFill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58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4.7109375" style="1" customWidth="1"/>
    <col min="4" max="4" width="8.28515625" style="1" customWidth="1"/>
    <col min="5" max="5" width="9.42578125" style="17" customWidth="1"/>
    <col min="6" max="6" width="9.7109375" style="4" customWidth="1"/>
    <col min="7" max="7" width="10.28515625" style="4" customWidth="1"/>
    <col min="8" max="8" width="10.5703125" style="4" customWidth="1"/>
    <col min="9" max="9" width="17.42578125" style="1" customWidth="1"/>
    <col min="10" max="10" width="15.42578125" style="1" customWidth="1"/>
    <col min="11" max="11" width="11.140625" style="1" customWidth="1"/>
    <col min="12" max="12" width="11.85546875" style="1" customWidth="1"/>
    <col min="13" max="13" width="20.28515625" style="298" customWidth="1"/>
    <col min="14" max="14" width="21" style="298" customWidth="1"/>
    <col min="15" max="16" width="11.85546875" style="1" customWidth="1"/>
    <col min="17" max="16384" width="9.140625" style="1"/>
  </cols>
  <sheetData>
    <row r="1" spans="1:12">
      <c r="B1" s="221" t="s">
        <v>126</v>
      </c>
      <c r="C1" s="221"/>
      <c r="D1" s="221"/>
      <c r="E1" s="221"/>
      <c r="F1" s="221"/>
      <c r="G1" s="221"/>
      <c r="H1" s="221"/>
    </row>
    <row r="2" spans="1:12">
      <c r="B2" s="221" t="s">
        <v>127</v>
      </c>
      <c r="C2" s="221"/>
      <c r="D2" s="221"/>
      <c r="E2" s="221"/>
      <c r="F2" s="221"/>
      <c r="G2" s="221"/>
      <c r="H2" s="221"/>
    </row>
    <row r="3" spans="1:12">
      <c r="B3" s="221" t="s">
        <v>159</v>
      </c>
      <c r="C3" s="221"/>
      <c r="D3" s="221"/>
      <c r="E3" s="221"/>
      <c r="F3" s="221"/>
      <c r="G3" s="221"/>
      <c r="H3" s="221"/>
    </row>
    <row r="4" spans="1:12">
      <c r="B4" s="221" t="s">
        <v>191</v>
      </c>
      <c r="C4" s="221"/>
      <c r="D4" s="221"/>
      <c r="E4" s="221"/>
      <c r="F4" s="221"/>
      <c r="G4" s="221"/>
      <c r="H4" s="221"/>
    </row>
    <row r="5" spans="1:12" ht="9" customHeight="1">
      <c r="B5" s="200"/>
      <c r="C5" s="200"/>
      <c r="D5" s="200"/>
      <c r="E5" s="200"/>
      <c r="F5" s="200"/>
      <c r="G5" s="200"/>
      <c r="H5" s="200"/>
    </row>
    <row r="6" spans="1:12" ht="15.75" customHeight="1">
      <c r="A6" s="204"/>
      <c r="B6" s="238" t="s">
        <v>184</v>
      </c>
      <c r="C6" s="238"/>
      <c r="D6" s="238"/>
      <c r="E6" s="238"/>
      <c r="F6" s="238"/>
      <c r="G6" s="238"/>
      <c r="H6" s="238"/>
      <c r="I6" s="16"/>
      <c r="J6" s="16"/>
      <c r="K6" s="16"/>
    </row>
    <row r="7" spans="1:12" ht="21" customHeight="1">
      <c r="A7" s="204"/>
      <c r="B7" s="238"/>
      <c r="C7" s="238"/>
      <c r="D7" s="238"/>
      <c r="E7" s="238"/>
      <c r="F7" s="238"/>
      <c r="G7" s="238"/>
      <c r="H7" s="238"/>
      <c r="I7" s="16"/>
      <c r="J7" s="16"/>
      <c r="K7" s="16"/>
    </row>
    <row r="8" spans="1:12" ht="9.75" customHeight="1"/>
    <row r="9" spans="1:12" ht="14.25" customHeight="1">
      <c r="B9" s="176" t="s">
        <v>0</v>
      </c>
      <c r="C9" s="176"/>
      <c r="D9" s="176"/>
      <c r="E9" s="177"/>
      <c r="F9" s="245" t="s">
        <v>14</v>
      </c>
      <c r="G9" s="245"/>
      <c r="H9" s="245"/>
    </row>
    <row r="10" spans="1:12" ht="12" customHeight="1">
      <c r="B10" s="176" t="s">
        <v>1</v>
      </c>
      <c r="C10" s="176"/>
      <c r="D10" s="176"/>
      <c r="E10" s="177"/>
      <c r="F10" s="201">
        <v>1972</v>
      </c>
      <c r="G10" s="201"/>
      <c r="H10" s="201"/>
    </row>
    <row r="11" spans="1:12" hidden="1" outlineLevel="1">
      <c r="B11" s="176" t="s">
        <v>2</v>
      </c>
      <c r="C11" s="176"/>
      <c r="D11" s="176"/>
      <c r="E11" s="177"/>
      <c r="F11" s="201">
        <v>4</v>
      </c>
      <c r="G11" s="201"/>
      <c r="H11" s="201"/>
    </row>
    <row r="12" spans="1:12" hidden="1" outlineLevel="1">
      <c r="B12" s="176" t="s">
        <v>3</v>
      </c>
      <c r="C12" s="176"/>
      <c r="D12" s="176"/>
      <c r="E12" s="177"/>
      <c r="F12" s="201">
        <v>63</v>
      </c>
      <c r="G12" s="201"/>
      <c r="H12" s="201"/>
    </row>
    <row r="13" spans="1:12" ht="30.75" hidden="1" customHeight="1" outlineLevel="1">
      <c r="B13" s="178" t="s">
        <v>4</v>
      </c>
      <c r="C13" s="178"/>
      <c r="D13" s="178"/>
      <c r="E13" s="179"/>
      <c r="F13" s="201" t="s">
        <v>15</v>
      </c>
      <c r="G13" s="201"/>
      <c r="H13" s="201"/>
    </row>
    <row r="14" spans="1:12" ht="14.25" customHeight="1" collapsed="1">
      <c r="B14" s="176" t="s">
        <v>5</v>
      </c>
      <c r="C14" s="176"/>
      <c r="D14" s="176"/>
      <c r="E14" s="177"/>
      <c r="F14" s="201" t="s">
        <v>130</v>
      </c>
      <c r="G14" s="201"/>
      <c r="H14" s="201"/>
      <c r="L14" s="7"/>
    </row>
    <row r="15" spans="1:12" hidden="1" outlineLevel="1">
      <c r="B15" s="1" t="s">
        <v>6</v>
      </c>
      <c r="F15" s="169" t="s">
        <v>7</v>
      </c>
      <c r="G15" s="169"/>
      <c r="H15" s="169"/>
    </row>
    <row r="16" spans="1:12" ht="30.75" hidden="1" customHeight="1" outlineLevel="1">
      <c r="B16" s="18" t="s">
        <v>8</v>
      </c>
      <c r="C16" s="18"/>
      <c r="D16" s="18"/>
      <c r="E16" s="19"/>
      <c r="F16" s="246" t="s">
        <v>16</v>
      </c>
      <c r="G16" s="246"/>
      <c r="H16" s="169"/>
      <c r="L16" s="7"/>
    </row>
    <row r="17" spans="2:14" ht="18" customHeight="1" collapsed="1" thickBot="1">
      <c r="B17" s="250" t="s">
        <v>182</v>
      </c>
      <c r="C17" s="250"/>
      <c r="D17" s="250"/>
      <c r="E17" s="250"/>
      <c r="F17" s="250"/>
      <c r="G17" s="250"/>
      <c r="H17" s="250"/>
      <c r="L17" s="7"/>
    </row>
    <row r="18" spans="2:14" ht="43.5" customHeight="1" thickBot="1">
      <c r="B18" s="193" t="s">
        <v>183</v>
      </c>
      <c r="C18" s="230" t="s">
        <v>103</v>
      </c>
      <c r="D18" s="231"/>
      <c r="E18" s="257" t="s">
        <v>9</v>
      </c>
      <c r="F18" s="258"/>
      <c r="G18" s="257" t="s">
        <v>10</v>
      </c>
      <c r="H18" s="259"/>
      <c r="L18" s="7"/>
    </row>
    <row r="19" spans="2:14" ht="15" customHeight="1">
      <c r="B19" s="163" t="s">
        <v>11</v>
      </c>
      <c r="C19" s="222">
        <v>2663560.0099999998</v>
      </c>
      <c r="D19" s="223"/>
      <c r="E19" s="228">
        <v>1963361.41</v>
      </c>
      <c r="F19" s="260"/>
      <c r="G19" s="228">
        <v>700198.60000000009</v>
      </c>
      <c r="H19" s="229"/>
      <c r="L19" s="7"/>
    </row>
    <row r="20" spans="2:14" ht="14.25" customHeight="1">
      <c r="B20" s="164" t="s">
        <v>12</v>
      </c>
      <c r="C20" s="224">
        <v>2555585.2600000002</v>
      </c>
      <c r="D20" s="225"/>
      <c r="E20" s="224">
        <v>1884676.87</v>
      </c>
      <c r="F20" s="261"/>
      <c r="G20" s="224">
        <v>670908.39</v>
      </c>
      <c r="H20" s="262"/>
      <c r="L20" s="7"/>
    </row>
    <row r="21" spans="2:14" ht="15.75" customHeight="1" thickBot="1">
      <c r="B21" s="165" t="s">
        <v>89</v>
      </c>
      <c r="C21" s="226">
        <v>2578801.2660499997</v>
      </c>
      <c r="D21" s="227"/>
      <c r="E21" s="254">
        <v>1961312.2660499997</v>
      </c>
      <c r="F21" s="256"/>
      <c r="G21" s="254">
        <v>617489</v>
      </c>
      <c r="H21" s="255"/>
      <c r="L21" s="7"/>
    </row>
    <row r="22" spans="2:14" ht="30" customHeight="1" thickBot="1">
      <c r="B22" s="166" t="s">
        <v>153</v>
      </c>
      <c r="C22" s="232">
        <f>C20-C21</f>
        <v>-23216.006049999502</v>
      </c>
      <c r="D22" s="233"/>
      <c r="E22" s="234">
        <f>E20-E21</f>
        <v>-76635.396049999632</v>
      </c>
      <c r="F22" s="235"/>
      <c r="G22" s="234">
        <f>G20-G21</f>
        <v>53419.390000000014</v>
      </c>
      <c r="H22" s="236"/>
      <c r="L22" s="7"/>
    </row>
    <row r="23" spans="2:14" ht="11.25" customHeight="1">
      <c r="B23" s="18"/>
      <c r="C23" s="18"/>
      <c r="D23" s="18"/>
      <c r="E23" s="19"/>
      <c r="F23" s="202"/>
      <c r="G23" s="202"/>
      <c r="H23" s="169"/>
      <c r="L23" s="7"/>
    </row>
    <row r="24" spans="2:14" ht="29.25" customHeight="1" thickBot="1">
      <c r="B24" s="247" t="s">
        <v>185</v>
      </c>
      <c r="C24" s="247"/>
      <c r="D24" s="247"/>
      <c r="E24" s="247"/>
      <c r="F24" s="247"/>
      <c r="G24" s="247"/>
      <c r="H24" s="247"/>
      <c r="L24" s="7"/>
      <c r="M24" s="299" t="s">
        <v>155</v>
      </c>
      <c r="N24" s="299" t="s">
        <v>156</v>
      </c>
    </row>
    <row r="25" spans="2:14" ht="34.5" customHeight="1">
      <c r="B25" s="243" t="s">
        <v>95</v>
      </c>
      <c r="C25" s="241" t="s">
        <v>97</v>
      </c>
      <c r="D25" s="241" t="s">
        <v>119</v>
      </c>
      <c r="E25" s="248" t="s">
        <v>186</v>
      </c>
      <c r="F25" s="265" t="s">
        <v>98</v>
      </c>
      <c r="G25" s="266"/>
      <c r="H25" s="239" t="s">
        <v>129</v>
      </c>
      <c r="L25" s="7"/>
      <c r="M25" s="300"/>
      <c r="N25" s="300"/>
    </row>
    <row r="26" spans="2:14" ht="42" customHeight="1" thickBot="1">
      <c r="B26" s="244"/>
      <c r="C26" s="242"/>
      <c r="D26" s="242"/>
      <c r="E26" s="249"/>
      <c r="F26" s="20" t="s">
        <v>82</v>
      </c>
      <c r="G26" s="21" t="s">
        <v>83</v>
      </c>
      <c r="H26" s="240"/>
      <c r="M26" s="301">
        <v>314250.23999999999</v>
      </c>
      <c r="N26" s="302">
        <f>314250.24*1.01</f>
        <v>317392.74239999999</v>
      </c>
    </row>
    <row r="27" spans="2:14" s="198" customFormat="1" ht="42" customHeight="1">
      <c r="B27" s="22" t="s">
        <v>87</v>
      </c>
      <c r="C27" s="23" t="s">
        <v>99</v>
      </c>
      <c r="D27" s="24" t="s">
        <v>100</v>
      </c>
      <c r="E27" s="25">
        <v>1.06</v>
      </c>
      <c r="F27" s="26">
        <f t="shared" ref="F27:F33" si="0">$M$26/$M$27*E27</f>
        <v>32753.712330383474</v>
      </c>
      <c r="G27" s="27">
        <f t="shared" ref="G27:G33" si="1">$N$26/$N$27*E27</f>
        <v>33081.249453687313</v>
      </c>
      <c r="H27" s="28">
        <f>F27-G27</f>
        <v>-327.5371233038386</v>
      </c>
      <c r="I27" s="29"/>
      <c r="L27" s="30"/>
      <c r="M27" s="303">
        <f>E37-E35</f>
        <v>10.170000000000002</v>
      </c>
      <c r="N27" s="303">
        <f>E37-E35</f>
        <v>10.170000000000002</v>
      </c>
    </row>
    <row r="28" spans="2:14" s="3" customFormat="1" ht="51">
      <c r="B28" s="31" t="s">
        <v>121</v>
      </c>
      <c r="C28" s="23" t="s">
        <v>99</v>
      </c>
      <c r="D28" s="24" t="s">
        <v>100</v>
      </c>
      <c r="E28" s="32">
        <v>1.19</v>
      </c>
      <c r="F28" s="26">
        <f t="shared" si="0"/>
        <v>36770.677050147482</v>
      </c>
      <c r="G28" s="27">
        <f t="shared" si="1"/>
        <v>37138.38382064896</v>
      </c>
      <c r="H28" s="28">
        <f t="shared" ref="H28:H34" si="2">F28-G28</f>
        <v>-367.70677050147788</v>
      </c>
      <c r="I28" s="34"/>
      <c r="M28" s="304"/>
      <c r="N28" s="304"/>
    </row>
    <row r="29" spans="2:14" ht="28.5" customHeight="1">
      <c r="B29" s="35" t="s">
        <v>84</v>
      </c>
      <c r="C29" s="23" t="s">
        <v>99</v>
      </c>
      <c r="D29" s="24" t="s">
        <v>100</v>
      </c>
      <c r="E29" s="32">
        <v>0.32</v>
      </c>
      <c r="F29" s="26">
        <f t="shared" si="0"/>
        <v>9887.9131563421815</v>
      </c>
      <c r="G29" s="27">
        <f t="shared" si="1"/>
        <v>9986.7922879056023</v>
      </c>
      <c r="H29" s="28">
        <f t="shared" si="2"/>
        <v>-98.879131563420742</v>
      </c>
      <c r="I29" s="36"/>
      <c r="L29" s="7"/>
    </row>
    <row r="30" spans="2:14" ht="25.5">
      <c r="B30" s="35" t="s">
        <v>85</v>
      </c>
      <c r="C30" s="37" t="s">
        <v>101</v>
      </c>
      <c r="D30" s="24" t="s">
        <v>100</v>
      </c>
      <c r="E30" s="32">
        <v>0.33</v>
      </c>
      <c r="F30" s="26">
        <f t="shared" si="0"/>
        <v>10196.910442477874</v>
      </c>
      <c r="G30" s="27">
        <f t="shared" si="1"/>
        <v>10298.879546902654</v>
      </c>
      <c r="H30" s="28">
        <f t="shared" si="2"/>
        <v>-101.96910442477929</v>
      </c>
      <c r="I30" s="36"/>
      <c r="L30" s="7"/>
    </row>
    <row r="31" spans="2:14" hidden="1">
      <c r="B31" s="35" t="s">
        <v>179</v>
      </c>
      <c r="C31" s="189" t="s">
        <v>180</v>
      </c>
      <c r="D31" s="24" t="s">
        <v>100</v>
      </c>
      <c r="E31" s="32"/>
      <c r="F31" s="26"/>
      <c r="G31" s="27"/>
      <c r="H31" s="28">
        <f t="shared" si="2"/>
        <v>0</v>
      </c>
      <c r="I31" s="36"/>
      <c r="L31" s="7"/>
    </row>
    <row r="32" spans="2:14" ht="51">
      <c r="B32" s="31" t="s">
        <v>88</v>
      </c>
      <c r="C32" s="23" t="s">
        <v>144</v>
      </c>
      <c r="D32" s="24" t="s">
        <v>100</v>
      </c>
      <c r="E32" s="32">
        <v>1.18</v>
      </c>
      <c r="F32" s="26">
        <f t="shared" si="0"/>
        <v>36461.679764011787</v>
      </c>
      <c r="G32" s="27">
        <f t="shared" si="1"/>
        <v>36826.296561651907</v>
      </c>
      <c r="H32" s="28">
        <f t="shared" si="2"/>
        <v>-364.61679764011933</v>
      </c>
      <c r="I32" s="36"/>
    </row>
    <row r="33" spans="2:17" s="3" customFormat="1" ht="210" customHeight="1">
      <c r="B33" s="31" t="s">
        <v>145</v>
      </c>
      <c r="C33" s="23" t="s">
        <v>102</v>
      </c>
      <c r="D33" s="24" t="s">
        <v>100</v>
      </c>
      <c r="E33" s="32">
        <v>5.61</v>
      </c>
      <c r="F33" s="26">
        <f t="shared" si="0"/>
        <v>173347.47752212387</v>
      </c>
      <c r="G33" s="27">
        <f t="shared" si="1"/>
        <v>175080.95229734509</v>
      </c>
      <c r="H33" s="28">
        <f t="shared" si="2"/>
        <v>-1733.4747752212279</v>
      </c>
      <c r="I33" s="34"/>
      <c r="L33" s="6"/>
      <c r="M33" s="304"/>
      <c r="N33" s="304"/>
    </row>
    <row r="34" spans="2:17" ht="108" customHeight="1">
      <c r="B34" s="31" t="s">
        <v>104</v>
      </c>
      <c r="C34" s="23" t="s">
        <v>99</v>
      </c>
      <c r="D34" s="24" t="s">
        <v>100</v>
      </c>
      <c r="E34" s="32">
        <v>0.24</v>
      </c>
      <c r="F34" s="26">
        <f>$M$26/$M$27*E34</f>
        <v>7415.9348672566348</v>
      </c>
      <c r="G34" s="27">
        <f>$N$26/$N$27*E34</f>
        <v>7490.0942159292017</v>
      </c>
      <c r="H34" s="28">
        <f t="shared" si="2"/>
        <v>-74.159348672566921</v>
      </c>
      <c r="I34" s="36"/>
    </row>
    <row r="35" spans="2:17" ht="34.5" customHeight="1">
      <c r="B35" s="35" t="s">
        <v>92</v>
      </c>
      <c r="C35" s="23" t="s">
        <v>99</v>
      </c>
      <c r="D35" s="24" t="s">
        <v>100</v>
      </c>
      <c r="E35" s="32">
        <v>5.08</v>
      </c>
      <c r="F35" s="26">
        <v>156970.62</v>
      </c>
      <c r="G35" s="33">
        <v>57828</v>
      </c>
      <c r="H35" s="28">
        <f>F35-G35</f>
        <v>99142.62</v>
      </c>
      <c r="I35" s="36"/>
      <c r="L35" s="7"/>
    </row>
    <row r="36" spans="2:17" ht="16.5" thickBot="1">
      <c r="B36" s="38" t="s">
        <v>86</v>
      </c>
      <c r="C36" s="39" t="s">
        <v>102</v>
      </c>
      <c r="D36" s="40" t="s">
        <v>100</v>
      </c>
      <c r="E36" s="41">
        <v>0.24</v>
      </c>
      <c r="F36" s="26">
        <f>$M$26/$M$27*E36</f>
        <v>7415.9348672566348</v>
      </c>
      <c r="G36" s="27">
        <f>$N$26/$N$27*E36</f>
        <v>7490.0942159292017</v>
      </c>
      <c r="H36" s="28">
        <f>F36-G36</f>
        <v>-74.159348672566921</v>
      </c>
      <c r="I36" s="36"/>
    </row>
    <row r="37" spans="2:17" ht="16.5" thickBot="1">
      <c r="B37" s="42" t="s">
        <v>90</v>
      </c>
      <c r="C37" s="43"/>
      <c r="D37" s="43"/>
      <c r="E37" s="44">
        <f>SUM(E27:E36)</f>
        <v>15.250000000000002</v>
      </c>
      <c r="F37" s="45">
        <f>SUM(F27:F36)</f>
        <v>471220.85999999987</v>
      </c>
      <c r="G37" s="46">
        <f>SUM(G27:G36)</f>
        <v>375220.74239999999</v>
      </c>
      <c r="H37" s="47">
        <f>SUM(H27:H36)</f>
        <v>96000.117599999998</v>
      </c>
      <c r="I37" s="69"/>
    </row>
    <row r="38" spans="2:17" ht="12" customHeight="1">
      <c r="B38" s="7"/>
      <c r="C38" s="7"/>
      <c r="D38" s="7"/>
      <c r="G38" s="17"/>
    </row>
    <row r="39" spans="2:17" ht="15" customHeight="1" thickBot="1">
      <c r="B39" s="250" t="s">
        <v>187</v>
      </c>
      <c r="C39" s="250"/>
      <c r="D39" s="250"/>
      <c r="E39" s="250"/>
      <c r="F39" s="250"/>
      <c r="G39" s="250"/>
      <c r="H39" s="250"/>
      <c r="I39" s="156"/>
      <c r="J39" s="48"/>
    </row>
    <row r="40" spans="2:17" s="4" customFormat="1" ht="45" customHeight="1" thickBot="1">
      <c r="B40" s="193" t="s">
        <v>188</v>
      </c>
      <c r="C40" s="230" t="s">
        <v>103</v>
      </c>
      <c r="D40" s="231"/>
      <c r="E40" s="257" t="s">
        <v>9</v>
      </c>
      <c r="F40" s="258"/>
      <c r="G40" s="257" t="s">
        <v>10</v>
      </c>
      <c r="H40" s="259"/>
      <c r="I40" s="170"/>
      <c r="J40" s="171"/>
      <c r="K40" s="49"/>
      <c r="L40" s="50"/>
      <c r="M40" s="305"/>
      <c r="N40" s="305"/>
    </row>
    <row r="41" spans="2:17">
      <c r="B41" s="163" t="s">
        <v>11</v>
      </c>
      <c r="C41" s="228">
        <f>E41+G41</f>
        <v>3134780.87</v>
      </c>
      <c r="D41" s="260"/>
      <c r="E41" s="228">
        <f>F27+F28+F29+F30+F32+F33+F34+F36+E19</f>
        <v>2277611.65</v>
      </c>
      <c r="F41" s="260"/>
      <c r="G41" s="228">
        <f>F35+G19</f>
        <v>857169.22000000009</v>
      </c>
      <c r="H41" s="229"/>
      <c r="I41" s="172"/>
      <c r="J41" s="173"/>
      <c r="K41" s="52"/>
      <c r="L41" s="52"/>
      <c r="M41" s="306"/>
    </row>
    <row r="42" spans="2:17">
      <c r="B42" s="164" t="s">
        <v>12</v>
      </c>
      <c r="C42" s="224">
        <f>E42+G42</f>
        <v>2999760.25</v>
      </c>
      <c r="D42" s="261"/>
      <c r="E42" s="224">
        <f>E20+296213.75</f>
        <v>2180890.62</v>
      </c>
      <c r="F42" s="261"/>
      <c r="G42" s="224">
        <f>G20+147961.24</f>
        <v>818869.63</v>
      </c>
      <c r="H42" s="262"/>
      <c r="I42" s="172"/>
      <c r="J42" s="174"/>
      <c r="K42" s="54"/>
      <c r="L42" s="52"/>
      <c r="M42" s="306"/>
    </row>
    <row r="43" spans="2:17" ht="16.5" thickBot="1">
      <c r="B43" s="165" t="s">
        <v>89</v>
      </c>
      <c r="C43" s="254">
        <f>E43+G43</f>
        <v>2954022.0084499996</v>
      </c>
      <c r="D43" s="256"/>
      <c r="E43" s="254">
        <f>G27+G28+G29+G30+G32+G33+G34+G36+E21</f>
        <v>2278705.0084499996</v>
      </c>
      <c r="F43" s="256"/>
      <c r="G43" s="254">
        <f>G35+G21</f>
        <v>675317</v>
      </c>
      <c r="H43" s="255"/>
      <c r="I43" s="172"/>
      <c r="J43" s="51"/>
      <c r="K43" s="36"/>
      <c r="L43" s="36"/>
    </row>
    <row r="44" spans="2:17" ht="27.75" customHeight="1" thickBot="1">
      <c r="B44" s="166" t="s">
        <v>154</v>
      </c>
      <c r="C44" s="232">
        <f>E44+G44</f>
        <v>45738.241550000501</v>
      </c>
      <c r="D44" s="233"/>
      <c r="E44" s="234">
        <f>E42-E43</f>
        <v>-97814.388449999504</v>
      </c>
      <c r="F44" s="235"/>
      <c r="G44" s="234">
        <f>G42-G43</f>
        <v>143552.63</v>
      </c>
      <c r="H44" s="236"/>
      <c r="I44" s="175"/>
      <c r="J44" s="159"/>
      <c r="K44" s="36"/>
      <c r="L44" s="36"/>
    </row>
    <row r="45" spans="2:17" ht="11.25" customHeight="1">
      <c r="B45" s="82"/>
      <c r="C45" s="157"/>
      <c r="D45" s="157"/>
      <c r="E45" s="158"/>
      <c r="F45" s="159"/>
      <c r="G45" s="159"/>
      <c r="H45" s="159"/>
      <c r="I45" s="53"/>
      <c r="J45" s="51"/>
      <c r="K45" s="36"/>
      <c r="L45" s="36"/>
    </row>
    <row r="46" spans="2:17" s="3" customFormat="1" ht="16.5" customHeight="1">
      <c r="B46" s="55" t="s">
        <v>78</v>
      </c>
      <c r="C46" s="237" t="s">
        <v>157</v>
      </c>
      <c r="D46" s="237"/>
      <c r="E46" s="237"/>
      <c r="F46" s="252" t="s">
        <v>13</v>
      </c>
      <c r="G46" s="252"/>
      <c r="H46" s="55"/>
      <c r="I46" s="55"/>
      <c r="M46" s="304"/>
      <c r="N46" s="304"/>
      <c r="O46" s="1"/>
      <c r="Q46" s="1"/>
    </row>
    <row r="47" spans="2:17" s="3" customFormat="1" ht="9" customHeight="1">
      <c r="B47" s="55"/>
      <c r="C47" s="56"/>
      <c r="D47" s="56"/>
      <c r="E47" s="205"/>
      <c r="F47" s="253"/>
      <c r="G47" s="253"/>
      <c r="H47" s="55"/>
      <c r="I47" s="55"/>
      <c r="M47" s="304"/>
      <c r="N47" s="304"/>
    </row>
    <row r="48" spans="2:17" s="3" customFormat="1" ht="15.75" customHeight="1">
      <c r="B48" s="55" t="s">
        <v>79</v>
      </c>
      <c r="C48" s="237" t="s">
        <v>157</v>
      </c>
      <c r="D48" s="237"/>
      <c r="E48" s="237"/>
      <c r="F48" s="252" t="s">
        <v>94</v>
      </c>
      <c r="G48" s="252"/>
      <c r="H48" s="55"/>
      <c r="I48" s="55"/>
      <c r="M48" s="304"/>
      <c r="N48" s="304"/>
    </row>
    <row r="49" spans="2:17" ht="7.5" customHeight="1">
      <c r="B49" s="55"/>
      <c r="C49" s="56"/>
      <c r="D49" s="56"/>
      <c r="E49" s="205"/>
      <c r="F49" s="252"/>
      <c r="G49" s="252"/>
      <c r="H49" s="55"/>
      <c r="I49" s="55"/>
      <c r="O49" s="3"/>
      <c r="Q49" s="3"/>
    </row>
    <row r="50" spans="2:17" ht="13.5" customHeight="1">
      <c r="B50" s="55" t="s">
        <v>80</v>
      </c>
      <c r="C50" s="237" t="s">
        <v>158</v>
      </c>
      <c r="D50" s="237"/>
      <c r="E50" s="237"/>
      <c r="F50" s="252" t="s">
        <v>96</v>
      </c>
      <c r="G50" s="252"/>
      <c r="H50" s="55"/>
      <c r="I50" s="55"/>
    </row>
    <row r="51" spans="2:17" ht="6" customHeight="1">
      <c r="B51" s="57"/>
      <c r="C51" s="58"/>
      <c r="D51" s="58"/>
      <c r="E51" s="205"/>
      <c r="F51" s="59"/>
      <c r="G51" s="57"/>
      <c r="H51" s="60"/>
      <c r="I51" s="8"/>
    </row>
    <row r="52" spans="2:17" ht="15" customHeight="1">
      <c r="B52" s="55" t="s">
        <v>81</v>
      </c>
      <c r="C52" s="237" t="s">
        <v>158</v>
      </c>
      <c r="D52" s="237"/>
      <c r="E52" s="237"/>
      <c r="F52" s="252" t="s">
        <v>96</v>
      </c>
      <c r="G52" s="252"/>
      <c r="H52" s="55"/>
      <c r="I52" s="55"/>
    </row>
    <row r="53" spans="2:17" ht="9.75" customHeight="1">
      <c r="E53" s="205"/>
      <c r="F53" s="251"/>
      <c r="G53" s="251"/>
      <c r="I53" s="4"/>
    </row>
    <row r="58" spans="2:17">
      <c r="G58" s="199"/>
    </row>
  </sheetData>
  <mergeCells count="59">
    <mergeCell ref="C52:E52"/>
    <mergeCell ref="M24:M25"/>
    <mergeCell ref="C48:E48"/>
    <mergeCell ref="N24:N25"/>
    <mergeCell ref="C46:E46"/>
    <mergeCell ref="C40:D40"/>
    <mergeCell ref="C41:D41"/>
    <mergeCell ref="C42:D42"/>
    <mergeCell ref="C43:D43"/>
    <mergeCell ref="C44:D44"/>
    <mergeCell ref="E41:F41"/>
    <mergeCell ref="E42:F42"/>
    <mergeCell ref="E40:F40"/>
    <mergeCell ref="F25:G25"/>
    <mergeCell ref="B39:H39"/>
    <mergeCell ref="G42:H42"/>
    <mergeCell ref="G43:H43"/>
    <mergeCell ref="E43:F43"/>
    <mergeCell ref="E18:F18"/>
    <mergeCell ref="G18:H18"/>
    <mergeCell ref="E19:F19"/>
    <mergeCell ref="G19:H19"/>
    <mergeCell ref="E22:F22"/>
    <mergeCell ref="G22:H22"/>
    <mergeCell ref="E20:F20"/>
    <mergeCell ref="G20:H20"/>
    <mergeCell ref="E21:F21"/>
    <mergeCell ref="G21:H21"/>
    <mergeCell ref="G40:H40"/>
    <mergeCell ref="F53:G53"/>
    <mergeCell ref="F46:G46"/>
    <mergeCell ref="F52:G52"/>
    <mergeCell ref="F49:G49"/>
    <mergeCell ref="F50:G50"/>
    <mergeCell ref="F47:G47"/>
    <mergeCell ref="F48:G48"/>
    <mergeCell ref="E44:F44"/>
    <mergeCell ref="G44:H44"/>
    <mergeCell ref="C50:E50"/>
    <mergeCell ref="B1:H1"/>
    <mergeCell ref="B6:H7"/>
    <mergeCell ref="H25:H26"/>
    <mergeCell ref="C25:C26"/>
    <mergeCell ref="D25:D26"/>
    <mergeCell ref="B25:B26"/>
    <mergeCell ref="F9:H9"/>
    <mergeCell ref="F16:G16"/>
    <mergeCell ref="B24:H24"/>
    <mergeCell ref="E25:E26"/>
    <mergeCell ref="B2:H2"/>
    <mergeCell ref="B3:H3"/>
    <mergeCell ref="B17:H17"/>
    <mergeCell ref="B4:H4"/>
    <mergeCell ref="C19:D19"/>
    <mergeCell ref="C20:D20"/>
    <mergeCell ref="C21:D21"/>
    <mergeCell ref="G41:H41"/>
    <mergeCell ref="C18:D18"/>
    <mergeCell ref="C22:D22"/>
  </mergeCells>
  <printOptions horizontalCentered="1"/>
  <pageMargins left="0.15748031496062992" right="0.19685039370078741" top="0.15748031496062992" bottom="0.15748031496062992" header="0.19685039370078741" footer="0.15748031496062992"/>
  <pageSetup paperSize="9" scale="45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2"/>
  <sheetViews>
    <sheetView topLeftCell="D4" zoomScale="110" zoomScaleNormal="110" workbookViewId="0">
      <selection activeCell="M4" sqref="M1:N1048576"/>
    </sheetView>
  </sheetViews>
  <sheetFormatPr defaultColWidth="9.140625" defaultRowHeight="15.75" outlineLevelRow="1"/>
  <cols>
    <col min="1" max="1" width="2.85546875" style="84" customWidth="1"/>
    <col min="2" max="2" width="58" style="84" customWidth="1"/>
    <col min="3" max="3" width="25" style="86" customWidth="1"/>
    <col min="4" max="4" width="9.85546875" style="86" customWidth="1"/>
    <col min="5" max="5" width="9.42578125" style="86" customWidth="1"/>
    <col min="6" max="6" width="9.85546875" style="84" customWidth="1"/>
    <col min="7" max="7" width="10.42578125" style="84" customWidth="1"/>
    <col min="8" max="8" width="10.7109375" style="84" customWidth="1"/>
    <col min="9" max="9" width="11.85546875" style="84" customWidth="1"/>
    <col min="10" max="12" width="9.140625" style="84"/>
    <col min="13" max="13" width="17.7109375" style="298" customWidth="1"/>
    <col min="14" max="14" width="16.28515625" style="298" customWidth="1"/>
    <col min="15" max="16384" width="9.140625" style="84"/>
  </cols>
  <sheetData>
    <row r="1" spans="1:9">
      <c r="B1" s="290" t="s">
        <v>125</v>
      </c>
      <c r="C1" s="290"/>
      <c r="D1" s="290"/>
      <c r="E1" s="290"/>
      <c r="F1" s="290"/>
      <c r="G1" s="290"/>
      <c r="H1" s="290"/>
    </row>
    <row r="2" spans="1:9" ht="9" customHeight="1">
      <c r="B2" s="195"/>
      <c r="C2" s="195"/>
      <c r="D2" s="195"/>
      <c r="E2" s="195"/>
      <c r="F2" s="195"/>
      <c r="G2" s="195"/>
      <c r="H2" s="195"/>
    </row>
    <row r="3" spans="1:9" ht="19.5" customHeight="1">
      <c r="A3" s="85"/>
      <c r="B3" s="238" t="s">
        <v>189</v>
      </c>
      <c r="C3" s="238"/>
      <c r="D3" s="238"/>
      <c r="E3" s="238"/>
      <c r="F3" s="238"/>
      <c r="G3" s="238"/>
      <c r="H3" s="238"/>
    </row>
    <row r="4" spans="1:9" ht="17.25" customHeight="1">
      <c r="A4" s="85"/>
      <c r="B4" s="238"/>
      <c r="C4" s="238"/>
      <c r="D4" s="238"/>
      <c r="E4" s="238"/>
      <c r="F4" s="238"/>
      <c r="G4" s="238"/>
      <c r="H4" s="238"/>
    </row>
    <row r="5" spans="1:9" ht="8.25" customHeight="1"/>
    <row r="6" spans="1:9">
      <c r="B6" s="132" t="s">
        <v>0</v>
      </c>
      <c r="C6" s="134"/>
      <c r="D6" s="291" t="s">
        <v>40</v>
      </c>
      <c r="E6" s="291"/>
    </row>
    <row r="7" spans="1:9">
      <c r="B7" s="132" t="s">
        <v>1</v>
      </c>
      <c r="C7" s="134"/>
      <c r="D7" s="196">
        <v>1963</v>
      </c>
      <c r="E7" s="196"/>
    </row>
    <row r="8" spans="1:9" hidden="1" outlineLevel="1">
      <c r="B8" s="132" t="s">
        <v>2</v>
      </c>
      <c r="C8" s="134"/>
      <c r="D8" s="196">
        <v>4</v>
      </c>
      <c r="E8" s="196"/>
    </row>
    <row r="9" spans="1:9" hidden="1" outlineLevel="1">
      <c r="B9" s="132" t="s">
        <v>3</v>
      </c>
      <c r="C9" s="134"/>
      <c r="D9" s="196">
        <v>29</v>
      </c>
      <c r="E9" s="196"/>
    </row>
    <row r="10" spans="1:9" ht="30.75" hidden="1" customHeight="1" outlineLevel="1">
      <c r="B10" s="136" t="s">
        <v>4</v>
      </c>
      <c r="C10" s="137"/>
      <c r="D10" s="196" t="s">
        <v>41</v>
      </c>
      <c r="E10" s="196"/>
    </row>
    <row r="11" spans="1:9" collapsed="1">
      <c r="B11" s="132" t="s">
        <v>5</v>
      </c>
      <c r="C11" s="134"/>
      <c r="D11" s="196" t="s">
        <v>112</v>
      </c>
      <c r="E11" s="196"/>
      <c r="I11" s="90"/>
    </row>
    <row r="12" spans="1:9" hidden="1" outlineLevel="1">
      <c r="B12" s="84" t="s">
        <v>6</v>
      </c>
      <c r="D12" s="87" t="s">
        <v>42</v>
      </c>
      <c r="E12" s="87"/>
    </row>
    <row r="13" spans="1:9" ht="30.75" hidden="1" customHeight="1" outlineLevel="1">
      <c r="B13" s="88" t="s">
        <v>8</v>
      </c>
      <c r="C13" s="89"/>
      <c r="D13" s="191" t="s">
        <v>43</v>
      </c>
      <c r="E13" s="87"/>
      <c r="I13" s="90"/>
    </row>
    <row r="14" spans="1:9" ht="16.5" collapsed="1" thickBot="1">
      <c r="B14" s="250" t="s">
        <v>182</v>
      </c>
      <c r="C14" s="250"/>
      <c r="D14" s="250"/>
      <c r="E14" s="250"/>
      <c r="F14" s="250"/>
      <c r="G14" s="250"/>
      <c r="H14" s="250"/>
      <c r="I14" s="90"/>
    </row>
    <row r="15" spans="1:9" ht="48.75" customHeight="1" thickBot="1">
      <c r="B15" s="193" t="s">
        <v>183</v>
      </c>
      <c r="C15" s="230" t="s">
        <v>103</v>
      </c>
      <c r="D15" s="231"/>
      <c r="E15" s="257" t="s">
        <v>9</v>
      </c>
      <c r="F15" s="258"/>
      <c r="G15" s="257" t="s">
        <v>10</v>
      </c>
      <c r="H15" s="259"/>
      <c r="I15" s="90"/>
    </row>
    <row r="16" spans="1:9">
      <c r="B16" s="163" t="s">
        <v>11</v>
      </c>
      <c r="C16" s="222">
        <v>1430763.96</v>
      </c>
      <c r="D16" s="223"/>
      <c r="E16" s="228">
        <v>1113872.78</v>
      </c>
      <c r="F16" s="260"/>
      <c r="G16" s="228">
        <v>316891.18</v>
      </c>
      <c r="H16" s="229"/>
      <c r="I16" s="90"/>
    </row>
    <row r="17" spans="2:14">
      <c r="B17" s="164" t="s">
        <v>12</v>
      </c>
      <c r="C17" s="224">
        <v>1340961.0899999999</v>
      </c>
      <c r="D17" s="261"/>
      <c r="E17" s="224">
        <v>1044609.46</v>
      </c>
      <c r="F17" s="261"/>
      <c r="G17" s="224">
        <v>296351.63</v>
      </c>
      <c r="H17" s="262"/>
      <c r="I17" s="90"/>
    </row>
    <row r="18" spans="2:14" ht="16.5" thickBot="1">
      <c r="B18" s="165" t="s">
        <v>89</v>
      </c>
      <c r="C18" s="224">
        <v>1256721.7309999999</v>
      </c>
      <c r="D18" s="261"/>
      <c r="E18" s="254">
        <v>1087152.7309999999</v>
      </c>
      <c r="F18" s="256"/>
      <c r="G18" s="254">
        <v>169569</v>
      </c>
      <c r="H18" s="255"/>
      <c r="I18" s="90"/>
    </row>
    <row r="19" spans="2:14" ht="33" customHeight="1" thickBot="1">
      <c r="B19" s="166" t="s">
        <v>153</v>
      </c>
      <c r="C19" s="232">
        <f>E19+G19</f>
        <v>84239.359000000055</v>
      </c>
      <c r="D19" s="233"/>
      <c r="E19" s="234">
        <f>E17-E18</f>
        <v>-42543.27099999995</v>
      </c>
      <c r="F19" s="235"/>
      <c r="G19" s="234">
        <f>G17-G18</f>
        <v>126782.63</v>
      </c>
      <c r="H19" s="236"/>
      <c r="I19" s="90"/>
    </row>
    <row r="20" spans="2:14">
      <c r="B20" s="88"/>
      <c r="C20" s="89"/>
      <c r="D20" s="191"/>
      <c r="E20" s="87"/>
      <c r="I20" s="90"/>
    </row>
    <row r="21" spans="2:14" ht="18.75" customHeight="1" thickBot="1">
      <c r="B21" s="292" t="s">
        <v>185</v>
      </c>
      <c r="C21" s="292"/>
      <c r="D21" s="292"/>
      <c r="E21" s="292"/>
      <c r="F21" s="292"/>
      <c r="G21" s="292"/>
      <c r="H21" s="292"/>
      <c r="L21" s="90"/>
      <c r="M21" s="299" t="s">
        <v>155</v>
      </c>
      <c r="N21" s="299" t="s">
        <v>156</v>
      </c>
    </row>
    <row r="22" spans="2:14" ht="38.25" customHeight="1">
      <c r="B22" s="293" t="s">
        <v>95</v>
      </c>
      <c r="C22" s="286" t="s">
        <v>97</v>
      </c>
      <c r="D22" s="286" t="s">
        <v>120</v>
      </c>
      <c r="E22" s="248" t="s">
        <v>186</v>
      </c>
      <c r="F22" s="288" t="s">
        <v>98</v>
      </c>
      <c r="G22" s="289"/>
      <c r="H22" s="295" t="s">
        <v>129</v>
      </c>
      <c r="L22" s="90"/>
      <c r="M22" s="300"/>
      <c r="N22" s="300"/>
    </row>
    <row r="23" spans="2:14" ht="38.25" customHeight="1" thickBot="1">
      <c r="B23" s="294"/>
      <c r="C23" s="287"/>
      <c r="D23" s="287"/>
      <c r="E23" s="249"/>
      <c r="F23" s="91" t="s">
        <v>82</v>
      </c>
      <c r="G23" s="92" t="s">
        <v>83</v>
      </c>
      <c r="H23" s="296"/>
      <c r="M23" s="301">
        <v>192566.31</v>
      </c>
      <c r="N23" s="301">
        <f>192566.31*1.01</f>
        <v>194491.9731</v>
      </c>
    </row>
    <row r="24" spans="2:14" ht="45">
      <c r="B24" s="93" t="s">
        <v>148</v>
      </c>
      <c r="C24" s="94" t="s">
        <v>143</v>
      </c>
      <c r="D24" s="95" t="s">
        <v>100</v>
      </c>
      <c r="E24" s="96">
        <v>1.06</v>
      </c>
      <c r="F24" s="97">
        <f>$M$23/$M$24*E24</f>
        <v>16731.171196721312</v>
      </c>
      <c r="G24" s="98">
        <f>$N$23/$N$24*E24</f>
        <v>16898.482908688526</v>
      </c>
      <c r="H24" s="99">
        <f>F24-G24</f>
        <v>-167.31171196721334</v>
      </c>
      <c r="I24" s="100"/>
      <c r="J24" s="101"/>
      <c r="K24" s="101"/>
      <c r="L24" s="102"/>
      <c r="M24" s="303">
        <f>E33-E31</f>
        <v>12.2</v>
      </c>
      <c r="N24" s="303">
        <f>E33-E31</f>
        <v>12.2</v>
      </c>
    </row>
    <row r="25" spans="2:14" ht="51">
      <c r="B25" s="103" t="s">
        <v>149</v>
      </c>
      <c r="C25" s="94" t="s">
        <v>143</v>
      </c>
      <c r="D25" s="95" t="s">
        <v>100</v>
      </c>
      <c r="E25" s="104">
        <v>1.19</v>
      </c>
      <c r="F25" s="97">
        <f t="shared" ref="F25:F32" si="0">$M$23/$M$24*E25</f>
        <v>18783.107286885246</v>
      </c>
      <c r="G25" s="98">
        <f t="shared" ref="G25:G29" si="1">$N$23/$N$24*E25</f>
        <v>18970.938359754098</v>
      </c>
      <c r="H25" s="99">
        <f t="shared" ref="H25:H30" si="2">F25-G25</f>
        <v>-187.83107286885206</v>
      </c>
      <c r="I25" s="105"/>
      <c r="J25" s="106"/>
      <c r="K25" s="106"/>
      <c r="L25" s="106"/>
      <c r="M25" s="304"/>
      <c r="N25" s="304"/>
    </row>
    <row r="26" spans="2:14" ht="50.25" customHeight="1">
      <c r="B26" s="108" t="s">
        <v>84</v>
      </c>
      <c r="C26" s="94" t="s">
        <v>143</v>
      </c>
      <c r="D26" s="95" t="s">
        <v>100</v>
      </c>
      <c r="E26" s="104">
        <v>0.32</v>
      </c>
      <c r="F26" s="97">
        <f t="shared" si="0"/>
        <v>5050.9196065573769</v>
      </c>
      <c r="G26" s="98">
        <f t="shared" si="1"/>
        <v>5101.4288026229515</v>
      </c>
      <c r="H26" s="99">
        <f t="shared" si="2"/>
        <v>-50.509196065574542</v>
      </c>
      <c r="I26" s="109"/>
      <c r="L26" s="90"/>
    </row>
    <row r="27" spans="2:14" ht="28.5" customHeight="1">
      <c r="B27" s="108" t="s">
        <v>85</v>
      </c>
      <c r="C27" s="110" t="s">
        <v>101</v>
      </c>
      <c r="D27" s="95" t="s">
        <v>100</v>
      </c>
      <c r="E27" s="104">
        <v>0.5</v>
      </c>
      <c r="F27" s="97">
        <f t="shared" si="0"/>
        <v>7892.061885245902</v>
      </c>
      <c r="G27" s="98">
        <f t="shared" si="1"/>
        <v>7970.9825040983615</v>
      </c>
      <c r="H27" s="99">
        <f t="shared" si="2"/>
        <v>-78.920618852459484</v>
      </c>
      <c r="I27" s="109"/>
      <c r="L27" s="90"/>
    </row>
    <row r="28" spans="2:14" ht="51">
      <c r="B28" s="103" t="s">
        <v>150</v>
      </c>
      <c r="C28" s="94" t="s">
        <v>144</v>
      </c>
      <c r="D28" s="95" t="s">
        <v>100</v>
      </c>
      <c r="E28" s="104">
        <v>1.18</v>
      </c>
      <c r="F28" s="97">
        <f t="shared" si="0"/>
        <v>18625.266049180329</v>
      </c>
      <c r="G28" s="98">
        <f t="shared" si="1"/>
        <v>18811.518709672131</v>
      </c>
      <c r="H28" s="99">
        <f t="shared" si="2"/>
        <v>-186.25266049180209</v>
      </c>
      <c r="I28" s="109"/>
    </row>
    <row r="29" spans="2:14" ht="210.75" customHeight="1">
      <c r="B29" s="103" t="s">
        <v>151</v>
      </c>
      <c r="C29" s="111" t="s">
        <v>102</v>
      </c>
      <c r="D29" s="95" t="s">
        <v>100</v>
      </c>
      <c r="E29" s="104">
        <v>5.61</v>
      </c>
      <c r="F29" s="97">
        <f t="shared" si="0"/>
        <v>88548.934352459022</v>
      </c>
      <c r="G29" s="98">
        <f t="shared" si="1"/>
        <v>89434.423695983627</v>
      </c>
      <c r="H29" s="99">
        <f t="shared" si="2"/>
        <v>-885.48934352460492</v>
      </c>
      <c r="I29" s="105"/>
      <c r="J29" s="106"/>
      <c r="K29" s="106"/>
      <c r="L29" s="107"/>
      <c r="M29" s="304"/>
      <c r="N29" s="304"/>
    </row>
    <row r="30" spans="2:14" ht="106.5" customHeight="1">
      <c r="B30" s="103" t="s">
        <v>152</v>
      </c>
      <c r="C30" s="94" t="s">
        <v>143</v>
      </c>
      <c r="D30" s="95" t="s">
        <v>100</v>
      </c>
      <c r="E30" s="104">
        <v>0.24</v>
      </c>
      <c r="F30" s="97">
        <f t="shared" si="0"/>
        <v>3788.1897049180329</v>
      </c>
      <c r="G30" s="98">
        <f t="shared" ref="G30" si="3">$N$23/$N$24*E30</f>
        <v>3826.0716019672132</v>
      </c>
      <c r="H30" s="99">
        <f t="shared" si="2"/>
        <v>-37.881897049180225</v>
      </c>
      <c r="I30" s="109"/>
    </row>
    <row r="31" spans="2:14" ht="60" customHeight="1">
      <c r="B31" s="108" t="s">
        <v>92</v>
      </c>
      <c r="C31" s="94" t="s">
        <v>143</v>
      </c>
      <c r="D31" s="95" t="s">
        <v>100</v>
      </c>
      <c r="E31" s="104">
        <v>3.61</v>
      </c>
      <c r="F31" s="97">
        <v>60979.23</v>
      </c>
      <c r="G31" s="112">
        <v>4755</v>
      </c>
      <c r="H31" s="99">
        <f>F31-G31</f>
        <v>56224.23</v>
      </c>
      <c r="I31" s="109"/>
      <c r="L31" s="90"/>
    </row>
    <row r="32" spans="2:14" ht="16.5" thickBot="1">
      <c r="B32" s="113" t="s">
        <v>86</v>
      </c>
      <c r="C32" s="114" t="s">
        <v>102</v>
      </c>
      <c r="D32" s="115" t="s">
        <v>100</v>
      </c>
      <c r="E32" s="116">
        <v>2.1</v>
      </c>
      <c r="F32" s="97">
        <f t="shared" si="0"/>
        <v>33146.65991803279</v>
      </c>
      <c r="G32" s="98">
        <f t="shared" ref="G32" si="4">$N$23/$N$24*E32</f>
        <v>33478.126517213117</v>
      </c>
      <c r="H32" s="99">
        <f>F32-G32</f>
        <v>-331.46659918032674</v>
      </c>
      <c r="I32" s="109"/>
    </row>
    <row r="33" spans="2:14" ht="16.5" thickBot="1">
      <c r="B33" s="117" t="s">
        <v>90</v>
      </c>
      <c r="C33" s="118"/>
      <c r="D33" s="118"/>
      <c r="E33" s="119">
        <f>SUM(E24:E32)</f>
        <v>15.809999999999999</v>
      </c>
      <c r="F33" s="120">
        <f>SUM(F24:F32)</f>
        <v>253545.54</v>
      </c>
      <c r="G33" s="121">
        <f>SUM(G24:G32)</f>
        <v>199246.97310000003</v>
      </c>
      <c r="H33" s="122">
        <f>SUM(H24:H32)</f>
        <v>54298.566899999991</v>
      </c>
      <c r="I33" s="192"/>
    </row>
    <row r="34" spans="2:14">
      <c r="B34" s="90"/>
      <c r="C34" s="90"/>
      <c r="D34" s="90"/>
      <c r="E34" s="123"/>
      <c r="F34" s="123"/>
      <c r="G34" s="123"/>
      <c r="H34" s="86"/>
    </row>
    <row r="35" spans="2:14" ht="16.5" customHeight="1" thickBot="1">
      <c r="B35" s="250" t="s">
        <v>187</v>
      </c>
      <c r="C35" s="250"/>
      <c r="D35" s="250"/>
      <c r="E35" s="250"/>
      <c r="F35" s="250"/>
      <c r="G35" s="250"/>
      <c r="H35" s="250"/>
      <c r="I35" s="124"/>
      <c r="J35" s="124"/>
    </row>
    <row r="36" spans="2:14" ht="47.25" customHeight="1" thickBot="1">
      <c r="B36" s="193" t="s">
        <v>188</v>
      </c>
      <c r="C36" s="230" t="s">
        <v>103</v>
      </c>
      <c r="D36" s="231"/>
      <c r="E36" s="257" t="s">
        <v>9</v>
      </c>
      <c r="F36" s="258"/>
      <c r="G36" s="257" t="s">
        <v>10</v>
      </c>
      <c r="H36" s="259"/>
      <c r="I36" s="125"/>
      <c r="J36" s="126"/>
      <c r="K36" s="127"/>
      <c r="L36" s="128"/>
      <c r="M36" s="305"/>
      <c r="N36" s="305"/>
    </row>
    <row r="37" spans="2:14">
      <c r="B37" s="163" t="s">
        <v>11</v>
      </c>
      <c r="C37" s="222">
        <f>E37+G37</f>
        <v>1684309.5</v>
      </c>
      <c r="D37" s="276"/>
      <c r="E37" s="228">
        <f>F24+F25+F26+F27+F28+F29+F30+F32+E16</f>
        <v>1306439.0900000001</v>
      </c>
      <c r="F37" s="260"/>
      <c r="G37" s="228">
        <f>F31+G16</f>
        <v>377870.41</v>
      </c>
      <c r="H37" s="229"/>
      <c r="I37" s="129"/>
      <c r="J37" s="130"/>
      <c r="K37" s="131"/>
      <c r="L37" s="131"/>
      <c r="M37" s="306"/>
    </row>
    <row r="38" spans="2:14">
      <c r="B38" s="164" t="s">
        <v>12</v>
      </c>
      <c r="C38" s="224">
        <f>E38+G38</f>
        <v>1562914.91</v>
      </c>
      <c r="D38" s="261"/>
      <c r="E38" s="224">
        <f>E17+168572.52</f>
        <v>1213181.98</v>
      </c>
      <c r="F38" s="261"/>
      <c r="G38" s="224">
        <f>G17+53381.3</f>
        <v>349732.93</v>
      </c>
      <c r="H38" s="262"/>
      <c r="I38" s="129"/>
      <c r="J38" s="130"/>
      <c r="K38" s="133"/>
      <c r="L38" s="131"/>
      <c r="M38" s="306"/>
    </row>
    <row r="39" spans="2:14" ht="16.5" thickBot="1">
      <c r="B39" s="165" t="s">
        <v>89</v>
      </c>
      <c r="C39" s="226">
        <f>E39+G39</f>
        <v>1455968.7041</v>
      </c>
      <c r="D39" s="277"/>
      <c r="E39" s="254">
        <f>G24+G25+G26+G27+G28+G29+G30+G32+E18</f>
        <v>1281644.7041</v>
      </c>
      <c r="F39" s="256"/>
      <c r="G39" s="254">
        <f>G31+G18</f>
        <v>174324</v>
      </c>
      <c r="H39" s="255"/>
      <c r="I39" s="129"/>
      <c r="J39" s="130"/>
      <c r="K39" s="109"/>
      <c r="L39" s="109"/>
    </row>
    <row r="40" spans="2:14" ht="30" customHeight="1" thickBot="1">
      <c r="B40" s="166" t="s">
        <v>154</v>
      </c>
      <c r="C40" s="232">
        <f>E40+G40</f>
        <v>106946.2059</v>
      </c>
      <c r="D40" s="233"/>
      <c r="E40" s="234">
        <f>E38-E39</f>
        <v>-68462.724099999992</v>
      </c>
      <c r="F40" s="235"/>
      <c r="G40" s="234">
        <f>G38-G39</f>
        <v>175408.93</v>
      </c>
      <c r="H40" s="236"/>
      <c r="I40" s="129"/>
      <c r="J40" s="130"/>
      <c r="K40" s="109"/>
      <c r="L40" s="109"/>
    </row>
    <row r="41" spans="2:14" ht="30.75" customHeight="1">
      <c r="B41" s="55" t="s">
        <v>78</v>
      </c>
      <c r="C41" s="237" t="s">
        <v>157</v>
      </c>
      <c r="D41" s="237"/>
      <c r="E41" s="237"/>
      <c r="F41" s="252" t="s">
        <v>13</v>
      </c>
      <c r="G41" s="252"/>
      <c r="H41" s="138"/>
      <c r="I41" s="138"/>
      <c r="J41" s="106"/>
      <c r="K41" s="106"/>
      <c r="L41" s="106"/>
      <c r="M41" s="304"/>
      <c r="N41" s="304"/>
    </row>
    <row r="42" spans="2:14" ht="8.25" customHeight="1">
      <c r="B42" s="55"/>
      <c r="C42" s="56"/>
      <c r="D42" s="56"/>
      <c r="E42" s="197"/>
      <c r="F42" s="253"/>
      <c r="G42" s="253"/>
      <c r="H42" s="138"/>
      <c r="I42" s="138"/>
      <c r="J42" s="106"/>
      <c r="K42" s="106"/>
      <c r="L42" s="106"/>
      <c r="M42" s="304"/>
      <c r="N42" s="304"/>
    </row>
    <row r="43" spans="2:14" ht="12" customHeight="1">
      <c r="B43" s="55" t="s">
        <v>79</v>
      </c>
      <c r="C43" s="237" t="s">
        <v>157</v>
      </c>
      <c r="D43" s="237"/>
      <c r="E43" s="237"/>
      <c r="F43" s="252" t="s">
        <v>94</v>
      </c>
      <c r="G43" s="252"/>
      <c r="H43" s="138"/>
      <c r="I43" s="138"/>
      <c r="J43" s="106"/>
      <c r="K43" s="106"/>
      <c r="L43" s="106"/>
      <c r="M43" s="304"/>
      <c r="N43" s="304"/>
    </row>
    <row r="44" spans="2:14" ht="9.75" customHeight="1">
      <c r="B44" s="55"/>
      <c r="C44" s="56"/>
      <c r="D44" s="56"/>
      <c r="E44" s="197"/>
      <c r="F44" s="252"/>
      <c r="G44" s="252"/>
      <c r="H44" s="138"/>
      <c r="I44" s="138"/>
    </row>
    <row r="45" spans="2:14" ht="12.75" customHeight="1">
      <c r="B45" s="55" t="s">
        <v>80</v>
      </c>
      <c r="C45" s="237" t="s">
        <v>158</v>
      </c>
      <c r="D45" s="237"/>
      <c r="E45" s="237"/>
      <c r="F45" s="252" t="s">
        <v>96</v>
      </c>
      <c r="G45" s="252"/>
      <c r="H45" s="138"/>
      <c r="I45" s="138"/>
    </row>
    <row r="46" spans="2:14" ht="6" customHeight="1">
      <c r="B46" s="57"/>
      <c r="C46" s="58"/>
      <c r="D46" s="58"/>
      <c r="E46" s="197"/>
      <c r="F46" s="59"/>
      <c r="G46" s="57"/>
      <c r="H46" s="134"/>
      <c r="I46" s="132"/>
    </row>
    <row r="47" spans="2:14">
      <c r="B47" s="55" t="s">
        <v>81</v>
      </c>
      <c r="C47" s="237" t="s">
        <v>158</v>
      </c>
      <c r="D47" s="237"/>
      <c r="E47" s="237"/>
      <c r="F47" s="252" t="s">
        <v>96</v>
      </c>
      <c r="G47" s="252"/>
      <c r="H47" s="138"/>
      <c r="I47" s="138"/>
    </row>
    <row r="48" spans="2:14" ht="12.75" customHeight="1">
      <c r="B48" s="1"/>
      <c r="C48" s="17"/>
      <c r="D48" s="4"/>
      <c r="E48" s="194"/>
      <c r="F48" s="1"/>
      <c r="G48" s="1"/>
      <c r="H48" s="86"/>
      <c r="I48" s="86"/>
    </row>
    <row r="49" spans="3:5">
      <c r="C49" s="123"/>
      <c r="E49" s="135"/>
    </row>
    <row r="50" spans="3:5">
      <c r="C50" s="123"/>
    </row>
    <row r="51" spans="3:5">
      <c r="C51" s="123"/>
    </row>
    <row r="52" spans="3:5">
      <c r="C52" s="123"/>
    </row>
  </sheetData>
  <mergeCells count="54">
    <mergeCell ref="F47:G47"/>
    <mergeCell ref="E39:F39"/>
    <mergeCell ref="F43:G43"/>
    <mergeCell ref="E37:F37"/>
    <mergeCell ref="F44:G44"/>
    <mergeCell ref="G37:H37"/>
    <mergeCell ref="G38:H38"/>
    <mergeCell ref="C45:E45"/>
    <mergeCell ref="C47:E47"/>
    <mergeCell ref="C38:D38"/>
    <mergeCell ref="C39:D39"/>
    <mergeCell ref="C40:D40"/>
    <mergeCell ref="C41:E41"/>
    <mergeCell ref="C43:E43"/>
    <mergeCell ref="B1:H1"/>
    <mergeCell ref="B3:H4"/>
    <mergeCell ref="E38:F38"/>
    <mergeCell ref="F45:G45"/>
    <mergeCell ref="F42:G42"/>
    <mergeCell ref="G39:H39"/>
    <mergeCell ref="G40:H40"/>
    <mergeCell ref="F41:G41"/>
    <mergeCell ref="D6:E6"/>
    <mergeCell ref="E36:F36"/>
    <mergeCell ref="B21:H21"/>
    <mergeCell ref="B22:B23"/>
    <mergeCell ref="E40:F40"/>
    <mergeCell ref="H22:H23"/>
    <mergeCell ref="G36:H36"/>
    <mergeCell ref="B35:H35"/>
    <mergeCell ref="B14:H14"/>
    <mergeCell ref="C15:D15"/>
    <mergeCell ref="E15:F15"/>
    <mergeCell ref="G15:H15"/>
    <mergeCell ref="C16:D16"/>
    <mergeCell ref="E16:F16"/>
    <mergeCell ref="G16:H16"/>
    <mergeCell ref="C36:D36"/>
    <mergeCell ref="C37:D37"/>
    <mergeCell ref="C17:D17"/>
    <mergeCell ref="E17:F17"/>
    <mergeCell ref="G17:H17"/>
    <mergeCell ref="C18:D18"/>
    <mergeCell ref="E18:F18"/>
    <mergeCell ref="G18:H18"/>
    <mergeCell ref="C22:C23"/>
    <mergeCell ref="D22:D23"/>
    <mergeCell ref="E22:E23"/>
    <mergeCell ref="F22:G22"/>
    <mergeCell ref="M21:M22"/>
    <mergeCell ref="N21:N22"/>
    <mergeCell ref="C19:D19"/>
    <mergeCell ref="E19:F19"/>
    <mergeCell ref="G19:H19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2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4.7109375" style="17" customWidth="1"/>
    <col min="4" max="4" width="8.5703125" style="4" customWidth="1"/>
    <col min="5" max="5" width="10.140625" style="4" customWidth="1"/>
    <col min="6" max="6" width="10.28515625" style="1" customWidth="1"/>
    <col min="7" max="7" width="10.42578125" style="1" customWidth="1"/>
    <col min="8" max="8" width="10.85546875" style="1" customWidth="1"/>
    <col min="9" max="9" width="15.42578125" style="1" customWidth="1"/>
    <col min="10" max="10" width="14.85546875" style="1" customWidth="1"/>
    <col min="11" max="12" width="9.140625" style="1"/>
    <col min="13" max="13" width="17.28515625" style="298" customWidth="1"/>
    <col min="14" max="14" width="16.7109375" style="298" customWidth="1"/>
    <col min="15" max="16384" width="9.140625" style="1"/>
  </cols>
  <sheetData>
    <row r="1" spans="1:9">
      <c r="B1" s="221" t="s">
        <v>126</v>
      </c>
      <c r="C1" s="221"/>
      <c r="D1" s="221"/>
      <c r="E1" s="221"/>
      <c r="F1" s="221"/>
      <c r="G1" s="221"/>
      <c r="H1" s="221"/>
    </row>
    <row r="2" spans="1:9">
      <c r="B2" s="221" t="s">
        <v>127</v>
      </c>
      <c r="C2" s="221"/>
      <c r="D2" s="221"/>
      <c r="E2" s="221"/>
      <c r="F2" s="221"/>
      <c r="G2" s="221"/>
      <c r="H2" s="221"/>
    </row>
    <row r="3" spans="1:9">
      <c r="B3" s="221" t="s">
        <v>168</v>
      </c>
      <c r="C3" s="221"/>
      <c r="D3" s="221"/>
      <c r="E3" s="221"/>
      <c r="F3" s="221"/>
      <c r="G3" s="221"/>
      <c r="H3" s="221"/>
    </row>
    <row r="4" spans="1:9" ht="15.75" customHeight="1">
      <c r="B4" s="221" t="s">
        <v>191</v>
      </c>
      <c r="C4" s="221"/>
      <c r="D4" s="221"/>
      <c r="E4" s="221"/>
      <c r="F4" s="221"/>
      <c r="G4" s="221"/>
      <c r="H4" s="221"/>
    </row>
    <row r="5" spans="1:9" ht="9" customHeight="1">
      <c r="B5" s="206"/>
      <c r="C5" s="206"/>
      <c r="D5" s="206"/>
      <c r="E5" s="206"/>
      <c r="F5" s="206"/>
      <c r="G5" s="206"/>
      <c r="H5" s="206"/>
    </row>
    <row r="6" spans="1:9" ht="15.75" customHeight="1">
      <c r="A6" s="219"/>
      <c r="B6" s="238" t="s">
        <v>184</v>
      </c>
      <c r="C6" s="238"/>
      <c r="D6" s="238"/>
      <c r="E6" s="238"/>
      <c r="F6" s="238"/>
      <c r="G6" s="238"/>
      <c r="H6" s="238"/>
    </row>
    <row r="7" spans="1:9" ht="21" customHeight="1">
      <c r="A7" s="219"/>
      <c r="B7" s="238"/>
      <c r="C7" s="238"/>
      <c r="D7" s="238"/>
      <c r="E7" s="238"/>
      <c r="F7" s="238"/>
      <c r="G7" s="238"/>
      <c r="H7" s="238"/>
    </row>
    <row r="8" spans="1:9" ht="9" customHeight="1"/>
    <row r="9" spans="1:9">
      <c r="B9" s="176" t="s">
        <v>0</v>
      </c>
      <c r="C9" s="177"/>
      <c r="D9" s="245" t="s">
        <v>44</v>
      </c>
      <c r="E9" s="245"/>
    </row>
    <row r="10" spans="1:9">
      <c r="B10" s="176" t="s">
        <v>1</v>
      </c>
      <c r="C10" s="177"/>
      <c r="D10" s="208">
        <v>1963</v>
      </c>
      <c r="E10" s="208"/>
    </row>
    <row r="11" spans="1:9" hidden="1" outlineLevel="1">
      <c r="B11" s="176" t="s">
        <v>2</v>
      </c>
      <c r="C11" s="177"/>
      <c r="D11" s="208">
        <v>4</v>
      </c>
      <c r="E11" s="208"/>
    </row>
    <row r="12" spans="1:9" hidden="1" outlineLevel="1">
      <c r="B12" s="176" t="s">
        <v>3</v>
      </c>
      <c r="C12" s="177"/>
      <c r="D12" s="208">
        <v>63</v>
      </c>
      <c r="E12" s="208"/>
    </row>
    <row r="13" spans="1:9" ht="30.75" hidden="1" customHeight="1" outlineLevel="1">
      <c r="B13" s="178" t="s">
        <v>4</v>
      </c>
      <c r="C13" s="179"/>
      <c r="D13" s="208" t="s">
        <v>45</v>
      </c>
      <c r="E13" s="208"/>
    </row>
    <row r="14" spans="1:9" collapsed="1">
      <c r="B14" s="176" t="s">
        <v>5</v>
      </c>
      <c r="C14" s="177"/>
      <c r="D14" s="208" t="s">
        <v>114</v>
      </c>
      <c r="E14" s="208"/>
      <c r="I14" s="7"/>
    </row>
    <row r="15" spans="1:9" hidden="1" outlineLevel="1">
      <c r="B15" s="1" t="s">
        <v>6</v>
      </c>
      <c r="D15" s="169" t="s">
        <v>7</v>
      </c>
      <c r="E15" s="169"/>
    </row>
    <row r="16" spans="1:9" ht="30.75" hidden="1" customHeight="1" outlineLevel="1">
      <c r="B16" s="18" t="s">
        <v>8</v>
      </c>
      <c r="C16" s="19"/>
      <c r="D16" s="209" t="s">
        <v>46</v>
      </c>
      <c r="E16" s="169"/>
      <c r="I16" s="7"/>
    </row>
    <row r="17" spans="2:14" ht="16.5" collapsed="1" thickBot="1">
      <c r="B17" s="250" t="s">
        <v>182</v>
      </c>
      <c r="C17" s="250"/>
      <c r="D17" s="250"/>
      <c r="E17" s="250"/>
      <c r="F17" s="250"/>
      <c r="G17" s="250"/>
      <c r="H17" s="250"/>
      <c r="I17" s="7"/>
    </row>
    <row r="18" spans="2:14" ht="39.75" customHeight="1" thickBot="1">
      <c r="B18" s="193" t="s">
        <v>183</v>
      </c>
      <c r="C18" s="230" t="s">
        <v>103</v>
      </c>
      <c r="D18" s="231"/>
      <c r="E18" s="257" t="s">
        <v>9</v>
      </c>
      <c r="F18" s="258"/>
      <c r="G18" s="257" t="s">
        <v>10</v>
      </c>
      <c r="H18" s="259"/>
      <c r="I18" s="7"/>
    </row>
    <row r="19" spans="2:14">
      <c r="B19" s="163" t="s">
        <v>11</v>
      </c>
      <c r="C19" s="222">
        <v>2721626.5300000003</v>
      </c>
      <c r="D19" s="223"/>
      <c r="E19" s="228">
        <v>2030656.24</v>
      </c>
      <c r="F19" s="260"/>
      <c r="G19" s="228">
        <v>690970.29</v>
      </c>
      <c r="H19" s="229"/>
      <c r="I19" s="7"/>
    </row>
    <row r="20" spans="2:14">
      <c r="B20" s="164" t="s">
        <v>12</v>
      </c>
      <c r="C20" s="224">
        <v>2615174.37</v>
      </c>
      <c r="D20" s="225"/>
      <c r="E20" s="224">
        <v>1953170.3499999999</v>
      </c>
      <c r="F20" s="261"/>
      <c r="G20" s="224">
        <v>662004.02</v>
      </c>
      <c r="H20" s="262"/>
      <c r="I20" s="7"/>
    </row>
    <row r="21" spans="2:14" ht="16.5" thickBot="1">
      <c r="B21" s="165" t="s">
        <v>89</v>
      </c>
      <c r="C21" s="226">
        <v>2602191.6804999998</v>
      </c>
      <c r="D21" s="227"/>
      <c r="E21" s="254">
        <v>1999601.6805</v>
      </c>
      <c r="F21" s="256"/>
      <c r="G21" s="254">
        <v>602590</v>
      </c>
      <c r="H21" s="255"/>
      <c r="I21" s="7"/>
    </row>
    <row r="22" spans="2:14" ht="36.75" thickBot="1">
      <c r="B22" s="166" t="s">
        <v>153</v>
      </c>
      <c r="C22" s="232">
        <f>E22+G22</f>
        <v>12982.689499999862</v>
      </c>
      <c r="D22" s="233"/>
      <c r="E22" s="234">
        <f>E20-E21</f>
        <v>-46431.330500000156</v>
      </c>
      <c r="F22" s="235"/>
      <c r="G22" s="234">
        <f>G20-G21</f>
        <v>59414.020000000019</v>
      </c>
      <c r="H22" s="236"/>
      <c r="I22" s="7"/>
    </row>
    <row r="23" spans="2:14">
      <c r="B23" s="18"/>
      <c r="C23" s="19"/>
      <c r="D23" s="209"/>
      <c r="E23" s="169"/>
      <c r="I23" s="7"/>
    </row>
    <row r="24" spans="2:14" ht="36" customHeight="1" thickBot="1">
      <c r="B24" s="247" t="s">
        <v>185</v>
      </c>
      <c r="C24" s="247"/>
      <c r="D24" s="247"/>
      <c r="E24" s="247"/>
      <c r="F24" s="247"/>
      <c r="G24" s="247"/>
      <c r="H24" s="247"/>
      <c r="L24" s="7"/>
      <c r="M24" s="299" t="s">
        <v>155</v>
      </c>
      <c r="N24" s="299" t="s">
        <v>156</v>
      </c>
    </row>
    <row r="25" spans="2:14" ht="34.5" customHeight="1">
      <c r="B25" s="273" t="s">
        <v>95</v>
      </c>
      <c r="C25" s="271" t="s">
        <v>97</v>
      </c>
      <c r="D25" s="271" t="s">
        <v>113</v>
      </c>
      <c r="E25" s="248" t="s">
        <v>186</v>
      </c>
      <c r="F25" s="267" t="s">
        <v>98</v>
      </c>
      <c r="G25" s="268"/>
      <c r="H25" s="239" t="s">
        <v>129</v>
      </c>
      <c r="L25" s="7"/>
      <c r="M25" s="300"/>
      <c r="N25" s="300"/>
    </row>
    <row r="26" spans="2:14" ht="42" customHeight="1" thickBot="1">
      <c r="B26" s="274"/>
      <c r="C26" s="272"/>
      <c r="D26" s="272"/>
      <c r="E26" s="249"/>
      <c r="F26" s="20" t="s">
        <v>82</v>
      </c>
      <c r="G26" s="21" t="s">
        <v>83</v>
      </c>
      <c r="H26" s="240"/>
      <c r="M26" s="301">
        <v>347261.75</v>
      </c>
      <c r="N26" s="301">
        <f>347261.75*1.01</f>
        <v>350734.36749999999</v>
      </c>
    </row>
    <row r="27" spans="2:14" ht="45" customHeight="1">
      <c r="B27" s="22" t="s">
        <v>87</v>
      </c>
      <c r="C27" s="23" t="s">
        <v>99</v>
      </c>
      <c r="D27" s="24" t="s">
        <v>100</v>
      </c>
      <c r="E27" s="25">
        <v>1.06</v>
      </c>
      <c r="F27" s="26">
        <f>$M$26/$M$27*E27</f>
        <v>32517.443021201412</v>
      </c>
      <c r="G27" s="27">
        <f>$N$26/$N$27*E27</f>
        <v>32842.617451413433</v>
      </c>
      <c r="H27" s="28">
        <f>F27-G27</f>
        <v>-325.17443021202052</v>
      </c>
      <c r="I27" s="29"/>
      <c r="J27" s="207"/>
      <c r="K27" s="207"/>
      <c r="L27" s="30"/>
      <c r="M27" s="303">
        <f>E36-E34</f>
        <v>11.32</v>
      </c>
      <c r="N27" s="303">
        <f>E36-E34</f>
        <v>11.32</v>
      </c>
    </row>
    <row r="28" spans="2:14" ht="51">
      <c r="B28" s="31" t="s">
        <v>91</v>
      </c>
      <c r="C28" s="23" t="s">
        <v>99</v>
      </c>
      <c r="D28" s="24" t="s">
        <v>100</v>
      </c>
      <c r="E28" s="32">
        <v>1.19</v>
      </c>
      <c r="F28" s="26">
        <f t="shared" ref="F28:F35" si="0">$M$26/$M$27*E28</f>
        <v>36505.431316254413</v>
      </c>
      <c r="G28" s="27">
        <f t="shared" ref="G28:G32" si="1">$N$26/$N$27*E28</f>
        <v>36870.485629416959</v>
      </c>
      <c r="H28" s="28">
        <f t="shared" ref="H28:H33" si="2">F28-G28</f>
        <v>-365.05431316254544</v>
      </c>
      <c r="I28" s="34"/>
      <c r="J28" s="3"/>
      <c r="K28" s="3"/>
      <c r="L28" s="3"/>
      <c r="M28" s="304"/>
      <c r="N28" s="304"/>
    </row>
    <row r="29" spans="2:14" ht="38.25" customHeight="1">
      <c r="B29" s="35" t="s">
        <v>84</v>
      </c>
      <c r="C29" s="23" t="s">
        <v>99</v>
      </c>
      <c r="D29" s="24" t="s">
        <v>100</v>
      </c>
      <c r="E29" s="32">
        <v>0.32</v>
      </c>
      <c r="F29" s="26">
        <f t="shared" si="0"/>
        <v>9816.586572438162</v>
      </c>
      <c r="G29" s="27">
        <f t="shared" si="1"/>
        <v>9914.7524381625444</v>
      </c>
      <c r="H29" s="28">
        <f t="shared" si="2"/>
        <v>-98.165865724382456</v>
      </c>
      <c r="I29" s="36"/>
      <c r="L29" s="7"/>
    </row>
    <row r="30" spans="2:14" ht="25.5">
      <c r="B30" s="35" t="s">
        <v>85</v>
      </c>
      <c r="C30" s="37" t="s">
        <v>101</v>
      </c>
      <c r="D30" s="24" t="s">
        <v>100</v>
      </c>
      <c r="E30" s="32">
        <v>0.22</v>
      </c>
      <c r="F30" s="26">
        <f t="shared" si="0"/>
        <v>6748.9032685512366</v>
      </c>
      <c r="G30" s="27">
        <f t="shared" si="1"/>
        <v>6816.3923012367495</v>
      </c>
      <c r="H30" s="28">
        <f t="shared" si="2"/>
        <v>-67.489032685512939</v>
      </c>
      <c r="I30" s="36"/>
      <c r="L30" s="7"/>
    </row>
    <row r="31" spans="2:14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36198.662985865718</v>
      </c>
      <c r="G31" s="27">
        <f t="shared" si="1"/>
        <v>36560.649615724382</v>
      </c>
      <c r="H31" s="28">
        <f t="shared" si="2"/>
        <v>-361.98662985866395</v>
      </c>
      <c r="I31" s="36"/>
    </row>
    <row r="32" spans="2:14" ht="213.75" customHeight="1">
      <c r="B32" s="31" t="s">
        <v>128</v>
      </c>
      <c r="C32" s="23" t="s">
        <v>102</v>
      </c>
      <c r="D32" s="24" t="s">
        <v>100</v>
      </c>
      <c r="E32" s="32">
        <v>5.61</v>
      </c>
      <c r="F32" s="26">
        <f t="shared" si="0"/>
        <v>172097.03334805655</v>
      </c>
      <c r="G32" s="27">
        <f t="shared" si="1"/>
        <v>173818.00368153711</v>
      </c>
      <c r="H32" s="28">
        <f t="shared" si="2"/>
        <v>-1720.9703334805672</v>
      </c>
      <c r="I32" s="34"/>
      <c r="J32" s="3"/>
      <c r="K32" s="3"/>
      <c r="L32" s="6"/>
      <c r="M32" s="304"/>
      <c r="N32" s="304"/>
    </row>
    <row r="33" spans="2:14" ht="111" customHeight="1">
      <c r="B33" s="31" t="s">
        <v>104</v>
      </c>
      <c r="C33" s="23" t="s">
        <v>99</v>
      </c>
      <c r="D33" s="24" t="s">
        <v>100</v>
      </c>
      <c r="E33" s="32">
        <v>0.24</v>
      </c>
      <c r="F33" s="26">
        <f t="shared" si="0"/>
        <v>7362.4399293286215</v>
      </c>
      <c r="G33" s="27">
        <f t="shared" ref="G33" si="3">$N$26/$N$27*E33</f>
        <v>7436.0643286219083</v>
      </c>
      <c r="H33" s="28">
        <f t="shared" si="2"/>
        <v>-73.624399293286842</v>
      </c>
      <c r="I33" s="36"/>
    </row>
    <row r="34" spans="2:14" ht="27.75" customHeight="1">
      <c r="B34" s="35" t="s">
        <v>92</v>
      </c>
      <c r="C34" s="23" t="s">
        <v>99</v>
      </c>
      <c r="D34" s="24" t="s">
        <v>100</v>
      </c>
      <c r="E34" s="32">
        <v>4.47</v>
      </c>
      <c r="F34" s="26">
        <v>137125.45000000001</v>
      </c>
      <c r="G34" s="33">
        <v>36836</v>
      </c>
      <c r="H34" s="28">
        <f>F34-G34</f>
        <v>100289.45000000001</v>
      </c>
      <c r="I34" s="36"/>
      <c r="L34" s="7"/>
    </row>
    <row r="35" spans="2:14" ht="16.5" thickBot="1">
      <c r="B35" s="66" t="s">
        <v>86</v>
      </c>
      <c r="C35" s="39" t="s">
        <v>102</v>
      </c>
      <c r="D35" s="40" t="s">
        <v>100</v>
      </c>
      <c r="E35" s="41">
        <v>1.5</v>
      </c>
      <c r="F35" s="26">
        <f t="shared" si="0"/>
        <v>46015.249558303884</v>
      </c>
      <c r="G35" s="27">
        <f t="shared" ref="G35" si="4">$N$26/$N$27*E35</f>
        <v>46475.402053886923</v>
      </c>
      <c r="H35" s="28">
        <f>F35-G35</f>
        <v>-460.15249558303913</v>
      </c>
      <c r="I35" s="36"/>
    </row>
    <row r="36" spans="2:14" ht="16.5" thickBot="1">
      <c r="B36" s="42" t="s">
        <v>90</v>
      </c>
      <c r="C36" s="43"/>
      <c r="D36" s="43"/>
      <c r="E36" s="44">
        <f>SUM(E27:E35)</f>
        <v>15.79</v>
      </c>
      <c r="F36" s="45">
        <f>SUM(F27:F35)</f>
        <v>484387.20000000007</v>
      </c>
      <c r="G36" s="46">
        <f>SUM(G27:G35)</f>
        <v>387570.36749999999</v>
      </c>
      <c r="H36" s="47">
        <f>SUM(H27:H35)</f>
        <v>96816.83249999999</v>
      </c>
      <c r="I36" s="69"/>
    </row>
    <row r="37" spans="2:14">
      <c r="B37" s="7"/>
      <c r="C37" s="7"/>
      <c r="D37" s="7"/>
      <c r="E37" s="17"/>
      <c r="F37" s="17"/>
      <c r="G37" s="17"/>
      <c r="H37" s="4"/>
    </row>
    <row r="38" spans="2:14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48"/>
      <c r="J38" s="48"/>
    </row>
    <row r="39" spans="2:14" ht="40.5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82"/>
      <c r="J39" s="171"/>
      <c r="K39" s="49"/>
      <c r="L39" s="50"/>
      <c r="M39" s="305"/>
      <c r="N39" s="305"/>
    </row>
    <row r="40" spans="2:14">
      <c r="B40" s="163" t="s">
        <v>11</v>
      </c>
      <c r="C40" s="228">
        <f>E40+G40</f>
        <v>3206013.7300000004</v>
      </c>
      <c r="D40" s="260"/>
      <c r="E40" s="228">
        <f>F27+F28+F29+F30+F31+F32+F33+F35+E19</f>
        <v>2377917.9900000002</v>
      </c>
      <c r="F40" s="260"/>
      <c r="G40" s="228">
        <f>F34+G19</f>
        <v>828095.74</v>
      </c>
      <c r="H40" s="229"/>
      <c r="I40" s="172"/>
      <c r="J40" s="173"/>
      <c r="K40" s="52"/>
      <c r="L40" s="52"/>
      <c r="M40" s="306"/>
    </row>
    <row r="41" spans="2:14">
      <c r="B41" s="164" t="s">
        <v>12</v>
      </c>
      <c r="C41" s="224">
        <f>E41+G41</f>
        <v>3099751.66</v>
      </c>
      <c r="D41" s="261"/>
      <c r="E41" s="224">
        <f>E20+347398.03</f>
        <v>2300568.38</v>
      </c>
      <c r="F41" s="261"/>
      <c r="G41" s="224">
        <f>G20+137179.26</f>
        <v>799183.28</v>
      </c>
      <c r="H41" s="262"/>
      <c r="I41" s="172"/>
      <c r="J41" s="174"/>
      <c r="K41" s="54"/>
      <c r="L41" s="52"/>
      <c r="M41" s="306"/>
    </row>
    <row r="42" spans="2:14" ht="16.5" thickBot="1">
      <c r="B42" s="165" t="s">
        <v>89</v>
      </c>
      <c r="C42" s="254">
        <f>E42+G42</f>
        <v>2989762.048</v>
      </c>
      <c r="D42" s="256"/>
      <c r="E42" s="254">
        <f>G27+G28+G29+G30+G31+G32+G33+G35+E21</f>
        <v>2350336.048</v>
      </c>
      <c r="F42" s="256"/>
      <c r="G42" s="254">
        <f>G34+G21</f>
        <v>639426</v>
      </c>
      <c r="H42" s="255"/>
      <c r="I42" s="172"/>
      <c r="J42" s="51"/>
      <c r="K42" s="36"/>
      <c r="L42" s="36"/>
    </row>
    <row r="43" spans="2:14" ht="33" customHeight="1" thickBot="1">
      <c r="B43" s="166" t="s">
        <v>154</v>
      </c>
      <c r="C43" s="232">
        <f>E43+G43</f>
        <v>109989.61199999996</v>
      </c>
      <c r="D43" s="233"/>
      <c r="E43" s="234">
        <f>E41-E42</f>
        <v>-49767.668000000063</v>
      </c>
      <c r="F43" s="235"/>
      <c r="G43" s="234">
        <f>G41-G42</f>
        <v>159757.28000000003</v>
      </c>
      <c r="H43" s="236"/>
      <c r="I43" s="175"/>
      <c r="J43" s="159"/>
      <c r="K43" s="36"/>
      <c r="L43" s="36"/>
    </row>
    <row r="44" spans="2:14" ht="15.75" customHeight="1">
      <c r="B44" s="82"/>
      <c r="C44" s="157"/>
      <c r="D44" s="157"/>
      <c r="E44" s="159"/>
      <c r="F44" s="159"/>
      <c r="G44" s="159"/>
      <c r="H44" s="159"/>
      <c r="I44" s="183"/>
      <c r="J44" s="34"/>
      <c r="K44" s="3"/>
      <c r="L44" s="3"/>
      <c r="M44" s="304"/>
      <c r="N44" s="304"/>
    </row>
    <row r="45" spans="2:14" ht="15" customHeight="1">
      <c r="B45" s="55" t="s">
        <v>78</v>
      </c>
      <c r="C45" s="237" t="s">
        <v>157</v>
      </c>
      <c r="D45" s="237"/>
      <c r="E45" s="237"/>
      <c r="F45" s="252" t="s">
        <v>13</v>
      </c>
      <c r="G45" s="252"/>
      <c r="H45" s="55"/>
      <c r="I45" s="183"/>
      <c r="J45" s="34"/>
      <c r="K45" s="3"/>
      <c r="L45" s="3"/>
      <c r="M45" s="304"/>
      <c r="N45" s="304"/>
    </row>
    <row r="46" spans="2:14" ht="7.5" customHeight="1">
      <c r="B46" s="55"/>
      <c r="C46" s="56"/>
      <c r="D46" s="56"/>
      <c r="E46" s="220"/>
      <c r="F46" s="253"/>
      <c r="G46" s="253"/>
      <c r="H46" s="55"/>
      <c r="I46" s="55"/>
      <c r="J46" s="3"/>
      <c r="K46" s="3"/>
      <c r="L46" s="3"/>
      <c r="M46" s="304"/>
      <c r="N46" s="304"/>
    </row>
    <row r="47" spans="2:14" ht="16.5" customHeight="1">
      <c r="B47" s="55" t="s">
        <v>79</v>
      </c>
      <c r="C47" s="237" t="s">
        <v>157</v>
      </c>
      <c r="D47" s="237"/>
      <c r="E47" s="237"/>
      <c r="F47" s="252" t="s">
        <v>94</v>
      </c>
      <c r="G47" s="252"/>
      <c r="H47" s="55"/>
      <c r="I47" s="55"/>
    </row>
    <row r="48" spans="2:14" ht="7.5" customHeight="1">
      <c r="B48" s="55"/>
      <c r="C48" s="56"/>
      <c r="D48" s="56"/>
      <c r="E48" s="220"/>
      <c r="F48" s="252"/>
      <c r="G48" s="252"/>
      <c r="H48" s="55"/>
      <c r="I48" s="55"/>
    </row>
    <row r="49" spans="2:9" ht="14.25" customHeight="1">
      <c r="B49" s="55" t="s">
        <v>80</v>
      </c>
      <c r="C49" s="237" t="s">
        <v>158</v>
      </c>
      <c r="D49" s="237"/>
      <c r="E49" s="237"/>
      <c r="F49" s="252" t="s">
        <v>96</v>
      </c>
      <c r="G49" s="252"/>
      <c r="H49" s="55"/>
      <c r="I49" s="8"/>
    </row>
    <row r="50" spans="2:9" ht="5.25" customHeight="1">
      <c r="B50" s="57"/>
      <c r="C50" s="58"/>
      <c r="D50" s="58"/>
      <c r="E50" s="220"/>
      <c r="F50" s="59"/>
      <c r="G50" s="57"/>
      <c r="H50" s="60"/>
      <c r="I50" s="55"/>
    </row>
    <row r="51" spans="2:9" ht="17.25" customHeight="1">
      <c r="B51" s="55" t="s">
        <v>81</v>
      </c>
      <c r="C51" s="237" t="s">
        <v>158</v>
      </c>
      <c r="D51" s="237"/>
      <c r="E51" s="237"/>
      <c r="F51" s="252" t="s">
        <v>96</v>
      </c>
      <c r="G51" s="252"/>
      <c r="H51" s="55"/>
      <c r="I51" s="4"/>
    </row>
    <row r="52" spans="2:9">
      <c r="E52" s="210"/>
    </row>
  </sheetData>
  <mergeCells count="57">
    <mergeCell ref="M24:M25"/>
    <mergeCell ref="N24:N25"/>
    <mergeCell ref="C39:D39"/>
    <mergeCell ref="F51:G51"/>
    <mergeCell ref="E40:F40"/>
    <mergeCell ref="F47:G47"/>
    <mergeCell ref="E41:F41"/>
    <mergeCell ref="F48:G48"/>
    <mergeCell ref="E42:F42"/>
    <mergeCell ref="F49:G49"/>
    <mergeCell ref="C51:E51"/>
    <mergeCell ref="G41:H41"/>
    <mergeCell ref="F45:G45"/>
    <mergeCell ref="F46:G46"/>
    <mergeCell ref="C45:E45"/>
    <mergeCell ref="C40:D40"/>
    <mergeCell ref="C47:E47"/>
    <mergeCell ref="C49:E49"/>
    <mergeCell ref="E43:F43"/>
    <mergeCell ref="G42:H42"/>
    <mergeCell ref="G43:H43"/>
    <mergeCell ref="G39:H39"/>
    <mergeCell ref="E39:F39"/>
    <mergeCell ref="C41:D41"/>
    <mergeCell ref="C42:D42"/>
    <mergeCell ref="C43:D43"/>
    <mergeCell ref="B4:H4"/>
    <mergeCell ref="B17:H17"/>
    <mergeCell ref="C18:D18"/>
    <mergeCell ref="E18:F18"/>
    <mergeCell ref="G18:H18"/>
    <mergeCell ref="C19:D19"/>
    <mergeCell ref="E19:F19"/>
    <mergeCell ref="G19:H19"/>
    <mergeCell ref="C22:D22"/>
    <mergeCell ref="E22:F22"/>
    <mergeCell ref="G22:H22"/>
    <mergeCell ref="C20:D20"/>
    <mergeCell ref="C21:D21"/>
    <mergeCell ref="G21:H21"/>
    <mergeCell ref="E21:F21"/>
    <mergeCell ref="B1:H1"/>
    <mergeCell ref="G40:H40"/>
    <mergeCell ref="B6:H7"/>
    <mergeCell ref="D9:E9"/>
    <mergeCell ref="B24:H24"/>
    <mergeCell ref="B25:B26"/>
    <mergeCell ref="C25:C26"/>
    <mergeCell ref="D25:D26"/>
    <mergeCell ref="E25:E26"/>
    <mergeCell ref="F25:G25"/>
    <mergeCell ref="H25:H26"/>
    <mergeCell ref="B2:H2"/>
    <mergeCell ref="B3:H3"/>
    <mergeCell ref="B38:H38"/>
    <mergeCell ref="E20:F20"/>
    <mergeCell ref="G20:H20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53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5.140625" style="139" customWidth="1"/>
    <col min="4" max="4" width="8.28515625" style="4" customWidth="1"/>
    <col min="5" max="5" width="9.28515625" style="4" customWidth="1"/>
    <col min="6" max="6" width="11.7109375" style="1" customWidth="1"/>
    <col min="7" max="8" width="11" style="1" customWidth="1"/>
    <col min="9" max="9" width="14.85546875" style="1" customWidth="1"/>
    <col min="10" max="10" width="15.7109375" style="1" customWidth="1"/>
    <col min="11" max="12" width="9.140625" style="1"/>
    <col min="13" max="13" width="14.85546875" style="298" customWidth="1"/>
    <col min="14" max="14" width="15.140625" style="298" customWidth="1"/>
    <col min="15" max="16384" width="9.140625" style="1"/>
  </cols>
  <sheetData>
    <row r="1" spans="1:9">
      <c r="B1" s="221" t="s">
        <v>126</v>
      </c>
      <c r="C1" s="221"/>
      <c r="D1" s="221"/>
      <c r="E1" s="221"/>
      <c r="F1" s="221"/>
      <c r="G1" s="221"/>
      <c r="H1" s="221"/>
    </row>
    <row r="2" spans="1:9">
      <c r="B2" s="221" t="s">
        <v>127</v>
      </c>
      <c r="C2" s="221"/>
      <c r="D2" s="221"/>
      <c r="E2" s="221"/>
      <c r="F2" s="221"/>
      <c r="G2" s="221"/>
      <c r="H2" s="221"/>
    </row>
    <row r="3" spans="1:9">
      <c r="B3" s="221" t="s">
        <v>169</v>
      </c>
      <c r="C3" s="221"/>
      <c r="D3" s="221"/>
      <c r="E3" s="221"/>
      <c r="F3" s="221"/>
      <c r="G3" s="221"/>
      <c r="H3" s="221"/>
    </row>
    <row r="4" spans="1:9">
      <c r="B4" s="221" t="s">
        <v>191</v>
      </c>
      <c r="C4" s="221"/>
      <c r="D4" s="221"/>
      <c r="E4" s="221"/>
      <c r="F4" s="221"/>
      <c r="G4" s="221"/>
      <c r="H4" s="221"/>
    </row>
    <row r="5" spans="1:9" ht="19.5" customHeight="1">
      <c r="A5" s="75"/>
      <c r="B5" s="238" t="s">
        <v>184</v>
      </c>
      <c r="C5" s="238"/>
      <c r="D5" s="238"/>
      <c r="E5" s="238"/>
      <c r="F5" s="238"/>
      <c r="G5" s="238"/>
      <c r="H5" s="238"/>
    </row>
    <row r="6" spans="1:9" ht="20.25" customHeight="1">
      <c r="A6" s="75"/>
      <c r="B6" s="238"/>
      <c r="C6" s="238"/>
      <c r="D6" s="238"/>
      <c r="E6" s="238"/>
      <c r="F6" s="238"/>
      <c r="G6" s="238"/>
      <c r="H6" s="238"/>
    </row>
    <row r="7" spans="1:9" ht="8.25" customHeight="1"/>
    <row r="8" spans="1:9">
      <c r="B8" s="176" t="s">
        <v>0</v>
      </c>
      <c r="C8" s="187"/>
      <c r="D8" s="245" t="s">
        <v>47</v>
      </c>
      <c r="E8" s="245"/>
      <c r="F8" s="176"/>
    </row>
    <row r="9" spans="1:9">
      <c r="B9" s="176" t="s">
        <v>1</v>
      </c>
      <c r="C9" s="187"/>
      <c r="D9" s="208">
        <v>2009</v>
      </c>
      <c r="E9" s="208"/>
      <c r="F9" s="176"/>
    </row>
    <row r="10" spans="1:9" hidden="1" outlineLevel="1">
      <c r="B10" s="176" t="s">
        <v>2</v>
      </c>
      <c r="C10" s="187"/>
      <c r="D10" s="208">
        <v>5</v>
      </c>
      <c r="E10" s="208"/>
      <c r="F10" s="176"/>
    </row>
    <row r="11" spans="1:9" hidden="1" outlineLevel="1">
      <c r="B11" s="176" t="s">
        <v>3</v>
      </c>
      <c r="C11" s="187"/>
      <c r="D11" s="208">
        <v>40</v>
      </c>
      <c r="E11" s="208"/>
      <c r="F11" s="176"/>
    </row>
    <row r="12" spans="1:9" ht="30.75" hidden="1" customHeight="1" outlineLevel="1">
      <c r="B12" s="178" t="s">
        <v>4</v>
      </c>
      <c r="C12" s="188"/>
      <c r="D12" s="208" t="s">
        <v>48</v>
      </c>
      <c r="E12" s="208"/>
      <c r="F12" s="176"/>
    </row>
    <row r="13" spans="1:9" collapsed="1">
      <c r="B13" s="176" t="s">
        <v>5</v>
      </c>
      <c r="C13" s="187"/>
      <c r="D13" s="208" t="s">
        <v>132</v>
      </c>
      <c r="E13" s="208"/>
      <c r="F13" s="176"/>
      <c r="I13" s="7"/>
    </row>
    <row r="14" spans="1:9" hidden="1" outlineLevel="1">
      <c r="B14" s="1" t="s">
        <v>6</v>
      </c>
      <c r="D14" s="169" t="s">
        <v>7</v>
      </c>
      <c r="E14" s="169"/>
    </row>
    <row r="15" spans="1:9" ht="30.75" hidden="1" customHeight="1" outlineLevel="1">
      <c r="B15" s="18" t="s">
        <v>8</v>
      </c>
      <c r="C15" s="140"/>
      <c r="D15" s="209" t="s">
        <v>46</v>
      </c>
      <c r="E15" s="169"/>
      <c r="I15" s="7"/>
    </row>
    <row r="16" spans="1:9" ht="16.5" collapsed="1" thickBot="1">
      <c r="B16" s="250" t="s">
        <v>182</v>
      </c>
      <c r="C16" s="250"/>
      <c r="D16" s="250"/>
      <c r="E16" s="250"/>
      <c r="F16" s="250"/>
      <c r="G16" s="250"/>
      <c r="H16" s="250"/>
      <c r="I16" s="7"/>
    </row>
    <row r="17" spans="2:16" ht="39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7"/>
    </row>
    <row r="18" spans="2:16">
      <c r="B18" s="163" t="s">
        <v>11</v>
      </c>
      <c r="C18" s="222">
        <v>1590672.7999999998</v>
      </c>
      <c r="D18" s="223"/>
      <c r="E18" s="228">
        <v>1323280.17</v>
      </c>
      <c r="F18" s="260"/>
      <c r="G18" s="228">
        <v>267392.63</v>
      </c>
      <c r="H18" s="229"/>
      <c r="I18" s="7"/>
    </row>
    <row r="19" spans="2:16">
      <c r="B19" s="164" t="s">
        <v>12</v>
      </c>
      <c r="C19" s="224">
        <v>1481648.1400000001</v>
      </c>
      <c r="D19" s="225"/>
      <c r="E19" s="224">
        <v>1230855.02</v>
      </c>
      <c r="F19" s="261"/>
      <c r="G19" s="224">
        <v>250793.12</v>
      </c>
      <c r="H19" s="262"/>
      <c r="I19" s="7"/>
    </row>
    <row r="20" spans="2:16" ht="16.5" thickBot="1">
      <c r="B20" s="165" t="s">
        <v>89</v>
      </c>
      <c r="C20" s="226">
        <v>1625185.3123999999</v>
      </c>
      <c r="D20" s="227"/>
      <c r="E20" s="254">
        <v>1314249.3123999999</v>
      </c>
      <c r="F20" s="256"/>
      <c r="G20" s="254">
        <v>310936</v>
      </c>
      <c r="H20" s="255"/>
      <c r="I20" s="7"/>
    </row>
    <row r="21" spans="2:16" ht="36.75" thickBot="1">
      <c r="B21" s="166" t="s">
        <v>153</v>
      </c>
      <c r="C21" s="232">
        <f>E21+G21</f>
        <v>-143537.17239999992</v>
      </c>
      <c r="D21" s="233"/>
      <c r="E21" s="234">
        <f>E19-E20</f>
        <v>-83394.292399999918</v>
      </c>
      <c r="F21" s="235"/>
      <c r="G21" s="234">
        <f>G19-G20</f>
        <v>-60142.880000000005</v>
      </c>
      <c r="H21" s="236"/>
      <c r="I21" s="7"/>
    </row>
    <row r="22" spans="2:16">
      <c r="B22" s="18"/>
      <c r="C22" s="140"/>
      <c r="D22" s="209"/>
      <c r="E22" s="169"/>
      <c r="I22" s="7"/>
    </row>
    <row r="23" spans="2:16" ht="34.5" customHeight="1" thickBot="1">
      <c r="B23" s="247" t="s">
        <v>185</v>
      </c>
      <c r="C23" s="247"/>
      <c r="D23" s="247"/>
      <c r="E23" s="247"/>
      <c r="F23" s="247"/>
      <c r="G23" s="247"/>
      <c r="H23" s="247"/>
      <c r="L23" s="7"/>
      <c r="M23" s="299" t="s">
        <v>155</v>
      </c>
      <c r="N23" s="299" t="s">
        <v>156</v>
      </c>
    </row>
    <row r="24" spans="2:16" s="207" customFormat="1" ht="32.2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I24" s="1"/>
      <c r="J24" s="1"/>
      <c r="K24" s="1"/>
      <c r="L24" s="7"/>
      <c r="M24" s="300"/>
      <c r="N24" s="300"/>
      <c r="O24" s="1"/>
      <c r="P24" s="1"/>
    </row>
    <row r="25" spans="2:16" s="3" customFormat="1" ht="53.2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I25" s="1"/>
      <c r="J25" s="1"/>
      <c r="K25" s="1"/>
      <c r="L25" s="1"/>
      <c r="M25" s="301">
        <v>215027.71</v>
      </c>
      <c r="N25" s="301">
        <f>215027.71*1.01</f>
        <v>217177.9871</v>
      </c>
      <c r="O25" s="1"/>
      <c r="P25" s="1"/>
    </row>
    <row r="26" spans="2:16" ht="45" customHeight="1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22679.539562189053</v>
      </c>
      <c r="G26" s="27">
        <f>$N$25/$N$26*E26</f>
        <v>22906.334957810945</v>
      </c>
      <c r="H26" s="28">
        <f>F26-G26</f>
        <v>-226.79539562189166</v>
      </c>
      <c r="I26" s="29"/>
      <c r="J26" s="207"/>
      <c r="K26" s="207"/>
      <c r="L26" s="30"/>
      <c r="M26" s="303">
        <f>E36-E33</f>
        <v>10.050000000000001</v>
      </c>
      <c r="N26" s="303">
        <f>E36-E33</f>
        <v>10.050000000000001</v>
      </c>
    </row>
    <row r="27" spans="2:16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4" si="0">$M$25/$M$26*E27</f>
        <v>25460.992527363178</v>
      </c>
      <c r="G27" s="27">
        <f t="shared" ref="G27:G31" si="1">$N$25/$N$26*E27</f>
        <v>25715.602452636813</v>
      </c>
      <c r="H27" s="28">
        <f t="shared" ref="H27:H32" si="2">F27-G27</f>
        <v>-254.60992527363487</v>
      </c>
      <c r="I27" s="34"/>
      <c r="J27" s="3"/>
      <c r="K27" s="3"/>
      <c r="L27" s="3"/>
      <c r="M27" s="304"/>
      <c r="N27" s="304"/>
    </row>
    <row r="28" spans="2:16" ht="37.5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6846.6534527363174</v>
      </c>
      <c r="G28" s="27">
        <f t="shared" si="1"/>
        <v>6915.1199872636807</v>
      </c>
      <c r="H28" s="28">
        <f t="shared" si="2"/>
        <v>-68.466534527363365</v>
      </c>
      <c r="I28" s="36"/>
      <c r="L28" s="7"/>
    </row>
    <row r="29" spans="2:16" ht="25.5">
      <c r="B29" s="35" t="s">
        <v>85</v>
      </c>
      <c r="C29" s="37" t="s">
        <v>101</v>
      </c>
      <c r="D29" s="24" t="s">
        <v>100</v>
      </c>
      <c r="E29" s="32">
        <v>0.13</v>
      </c>
      <c r="F29" s="26">
        <f t="shared" si="0"/>
        <v>2781.4529651741291</v>
      </c>
      <c r="G29" s="27">
        <f t="shared" si="1"/>
        <v>2809.2674948258705</v>
      </c>
      <c r="H29" s="28">
        <f t="shared" si="2"/>
        <v>-27.814529651741395</v>
      </c>
      <c r="I29" s="36"/>
      <c r="L29" s="7"/>
    </row>
    <row r="30" spans="2:16" s="3" customFormat="1" ht="51">
      <c r="B30" s="31" t="s">
        <v>88</v>
      </c>
      <c r="C30" s="23" t="s">
        <v>144</v>
      </c>
      <c r="D30" s="24" t="s">
        <v>100</v>
      </c>
      <c r="E30" s="32">
        <v>1.18</v>
      </c>
      <c r="F30" s="26">
        <f t="shared" si="0"/>
        <v>25247.034606965168</v>
      </c>
      <c r="G30" s="27">
        <f t="shared" si="1"/>
        <v>25499.504953034822</v>
      </c>
      <c r="H30" s="28">
        <f t="shared" si="2"/>
        <v>-252.47034606965462</v>
      </c>
      <c r="I30" s="36"/>
      <c r="J30" s="1"/>
      <c r="K30" s="1"/>
      <c r="L30" s="1"/>
      <c r="M30" s="298"/>
      <c r="N30" s="298"/>
      <c r="O30" s="1"/>
      <c r="P30" s="1"/>
    </row>
    <row r="31" spans="2:16" ht="225" customHeight="1">
      <c r="B31" s="31" t="s">
        <v>128</v>
      </c>
      <c r="C31" s="23" t="s">
        <v>102</v>
      </c>
      <c r="D31" s="24" t="s">
        <v>100</v>
      </c>
      <c r="E31" s="32">
        <v>5.14</v>
      </c>
      <c r="F31" s="26">
        <f t="shared" si="0"/>
        <v>109974.3710845771</v>
      </c>
      <c r="G31" s="27">
        <f t="shared" si="1"/>
        <v>111074.11479542287</v>
      </c>
      <c r="H31" s="28">
        <f t="shared" si="2"/>
        <v>-1099.7437108457671</v>
      </c>
      <c r="I31" s="34"/>
      <c r="J31" s="3"/>
      <c r="K31" s="3"/>
      <c r="L31" s="6"/>
      <c r="M31" s="304"/>
      <c r="N31" s="304"/>
    </row>
    <row r="32" spans="2:16" ht="114" customHeight="1">
      <c r="B32" s="31" t="s">
        <v>104</v>
      </c>
      <c r="C32" s="23" t="s">
        <v>99</v>
      </c>
      <c r="D32" s="24" t="s">
        <v>100</v>
      </c>
      <c r="E32" s="32">
        <v>0.24</v>
      </c>
      <c r="F32" s="26">
        <f t="shared" si="0"/>
        <v>5134.9900895522378</v>
      </c>
      <c r="G32" s="27">
        <f t="shared" ref="G32:G34" si="3">$N$25/$N$26*E32</f>
        <v>5186.3399904477601</v>
      </c>
      <c r="H32" s="28">
        <f t="shared" si="2"/>
        <v>-51.349900895522296</v>
      </c>
      <c r="I32" s="36"/>
    </row>
    <row r="33" spans="2:16" ht="27.75" customHeight="1">
      <c r="B33" s="35" t="s">
        <v>92</v>
      </c>
      <c r="C33" s="23" t="s">
        <v>99</v>
      </c>
      <c r="D33" s="24" t="s">
        <v>100</v>
      </c>
      <c r="E33" s="32">
        <v>4.2</v>
      </c>
      <c r="F33" s="26">
        <v>70500.89</v>
      </c>
      <c r="G33" s="33">
        <v>5105</v>
      </c>
      <c r="H33" s="28">
        <f>F33-G33</f>
        <v>65395.89</v>
      </c>
      <c r="I33" s="36"/>
      <c r="L33" s="7"/>
    </row>
    <row r="34" spans="2:16">
      <c r="B34" s="35" t="s">
        <v>93</v>
      </c>
      <c r="C34" s="37" t="s">
        <v>101</v>
      </c>
      <c r="D34" s="24" t="s">
        <v>100</v>
      </c>
      <c r="E34" s="32">
        <v>0.48</v>
      </c>
      <c r="F34" s="26">
        <f t="shared" si="0"/>
        <v>10269.980179104476</v>
      </c>
      <c r="G34" s="27">
        <f t="shared" si="3"/>
        <v>10372.67998089552</v>
      </c>
      <c r="H34" s="28">
        <f t="shared" ref="H34:H35" si="4">F34-G34</f>
        <v>-102.69980179104459</v>
      </c>
      <c r="I34" s="36"/>
      <c r="J34" s="68"/>
      <c r="K34" s="68"/>
      <c r="L34" s="7"/>
      <c r="M34" s="305"/>
    </row>
    <row r="35" spans="2:16">
      <c r="B35" s="35" t="s">
        <v>86</v>
      </c>
      <c r="C35" s="141" t="s">
        <v>102</v>
      </c>
      <c r="D35" s="24" t="s">
        <v>100</v>
      </c>
      <c r="E35" s="32">
        <v>0.31</v>
      </c>
      <c r="F35" s="26">
        <f t="shared" ref="F35" si="5">$M$25/$M$26*E35</f>
        <v>6632.6955323383072</v>
      </c>
      <c r="G35" s="27">
        <f t="shared" ref="G35" si="6">$N$25/$N$26*E35</f>
        <v>6699.0224876616903</v>
      </c>
      <c r="H35" s="28">
        <f t="shared" si="4"/>
        <v>-66.326955323383118</v>
      </c>
      <c r="I35" s="36"/>
    </row>
    <row r="36" spans="2:16" s="70" customFormat="1" ht="16.5" thickBot="1">
      <c r="B36" s="142" t="s">
        <v>90</v>
      </c>
      <c r="C36" s="143"/>
      <c r="D36" s="143"/>
      <c r="E36" s="144">
        <f>SUM(E26:E35)</f>
        <v>14.250000000000002</v>
      </c>
      <c r="F36" s="145">
        <f>SUM(F26:F35)</f>
        <v>285528.59999999998</v>
      </c>
      <c r="G36" s="146">
        <f>SUM(G26:G35)</f>
        <v>222282.98709999997</v>
      </c>
      <c r="H36" s="147">
        <f>SUM(H26:H35)</f>
        <v>63245.612899999993</v>
      </c>
      <c r="I36" s="69"/>
      <c r="J36" s="1"/>
      <c r="K36" s="1"/>
      <c r="L36" s="1"/>
      <c r="M36" s="298"/>
      <c r="N36" s="298"/>
      <c r="O36" s="1"/>
      <c r="P36" s="1"/>
    </row>
    <row r="37" spans="2:16" s="4" customFormat="1">
      <c r="B37" s="7"/>
      <c r="C37" s="7"/>
      <c r="D37" s="7"/>
      <c r="E37" s="17"/>
      <c r="F37" s="17"/>
      <c r="G37" s="17"/>
      <c r="I37" s="1"/>
      <c r="J37" s="1"/>
      <c r="K37" s="1"/>
      <c r="L37" s="1"/>
      <c r="M37" s="298"/>
      <c r="N37" s="298"/>
      <c r="O37" s="1"/>
      <c r="P37" s="1"/>
    </row>
    <row r="38" spans="2:16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48"/>
      <c r="J38" s="48"/>
    </row>
    <row r="39" spans="2:16" ht="45.75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70"/>
      <c r="J39" s="171"/>
      <c r="K39" s="49"/>
      <c r="L39" s="50"/>
      <c r="M39" s="305"/>
      <c r="N39" s="305"/>
    </row>
    <row r="40" spans="2:16">
      <c r="B40" s="163" t="s">
        <v>11</v>
      </c>
      <c r="C40" s="228">
        <f>E40+G40</f>
        <v>1876201.4</v>
      </c>
      <c r="D40" s="260"/>
      <c r="E40" s="228">
        <f>F27+F28+F29+F30+F31+F34+F32+F35+E18+F26</f>
        <v>1538307.88</v>
      </c>
      <c r="F40" s="260"/>
      <c r="G40" s="228">
        <f>F33+G18</f>
        <v>337893.52</v>
      </c>
      <c r="H40" s="229"/>
      <c r="I40" s="172"/>
      <c r="J40" s="173"/>
      <c r="K40" s="52"/>
      <c r="L40" s="52"/>
      <c r="M40" s="306"/>
    </row>
    <row r="41" spans="2:16">
      <c r="B41" s="164" t="s">
        <v>12</v>
      </c>
      <c r="C41" s="224">
        <f>E41+G41</f>
        <v>1762165.7</v>
      </c>
      <c r="D41" s="261"/>
      <c r="E41" s="224">
        <f>E19+211253.96</f>
        <v>1442108.98</v>
      </c>
      <c r="F41" s="261"/>
      <c r="G41" s="224">
        <f>G19+69263.6</f>
        <v>320056.71999999997</v>
      </c>
      <c r="H41" s="262"/>
      <c r="I41" s="172"/>
      <c r="J41" s="174"/>
      <c r="K41" s="54"/>
      <c r="L41" s="52"/>
      <c r="M41" s="306"/>
    </row>
    <row r="42" spans="2:16" s="3" customFormat="1" ht="16.5" thickBot="1">
      <c r="B42" s="165" t="s">
        <v>89</v>
      </c>
      <c r="C42" s="254">
        <f>E42+G42</f>
        <v>1847468.2995</v>
      </c>
      <c r="D42" s="256"/>
      <c r="E42" s="254">
        <f>G27+G28+G29+G30+G31+G32+G34+G35+E20+G26</f>
        <v>1531427.2995</v>
      </c>
      <c r="F42" s="256"/>
      <c r="G42" s="254">
        <f>G33+G20</f>
        <v>316041</v>
      </c>
      <c r="H42" s="255"/>
      <c r="I42" s="172"/>
      <c r="J42" s="51"/>
      <c r="K42" s="36"/>
      <c r="L42" s="36"/>
      <c r="M42" s="298"/>
      <c r="N42" s="298"/>
      <c r="O42" s="1"/>
      <c r="P42" s="1"/>
    </row>
    <row r="43" spans="2:16" s="3" customFormat="1" ht="28.5" customHeight="1" thickBot="1">
      <c r="B43" s="166" t="s">
        <v>154</v>
      </c>
      <c r="C43" s="232">
        <f>E43+G43</f>
        <v>-85302.599500000011</v>
      </c>
      <c r="D43" s="233"/>
      <c r="E43" s="234">
        <f>E41-E42</f>
        <v>-89318.319499999983</v>
      </c>
      <c r="F43" s="235"/>
      <c r="G43" s="234">
        <f>G41-G42</f>
        <v>4015.7199999999721</v>
      </c>
      <c r="H43" s="236"/>
      <c r="I43" s="175"/>
      <c r="J43" s="159"/>
      <c r="K43" s="36"/>
      <c r="L43" s="36"/>
      <c r="M43" s="298"/>
      <c r="N43" s="298"/>
      <c r="O43" s="1"/>
      <c r="P43" s="1"/>
    </row>
    <row r="44" spans="2:16" s="3" customFormat="1" ht="18" customHeight="1">
      <c r="B44" s="82"/>
      <c r="C44" s="157"/>
      <c r="D44" s="157"/>
      <c r="E44" s="159"/>
      <c r="F44" s="159"/>
      <c r="G44" s="159"/>
      <c r="H44" s="159"/>
      <c r="I44" s="55"/>
      <c r="M44" s="304"/>
      <c r="N44" s="304"/>
      <c r="O44" s="1"/>
      <c r="P44" s="1"/>
    </row>
    <row r="45" spans="2:16" ht="16.5" customHeight="1">
      <c r="B45" s="55" t="s">
        <v>78</v>
      </c>
      <c r="C45" s="237" t="s">
        <v>157</v>
      </c>
      <c r="D45" s="237"/>
      <c r="E45" s="237"/>
      <c r="F45" s="252" t="s">
        <v>13</v>
      </c>
      <c r="G45" s="252"/>
      <c r="H45" s="55"/>
      <c r="I45" s="55"/>
      <c r="J45" s="3"/>
      <c r="K45" s="3"/>
      <c r="L45" s="3"/>
      <c r="M45" s="304"/>
      <c r="N45" s="304"/>
    </row>
    <row r="46" spans="2:16" ht="8.25" customHeight="1">
      <c r="B46" s="55"/>
      <c r="C46" s="56"/>
      <c r="D46" s="56"/>
      <c r="E46" s="220"/>
      <c r="F46" s="253"/>
      <c r="G46" s="253"/>
      <c r="H46" s="55"/>
      <c r="I46" s="55"/>
      <c r="J46" s="3"/>
      <c r="K46" s="3"/>
      <c r="L46" s="3"/>
      <c r="M46" s="304"/>
      <c r="N46" s="304"/>
    </row>
    <row r="47" spans="2:16" ht="15.75" customHeight="1">
      <c r="B47" s="55" t="s">
        <v>79</v>
      </c>
      <c r="C47" s="237" t="s">
        <v>157</v>
      </c>
      <c r="D47" s="237"/>
      <c r="E47" s="237"/>
      <c r="F47" s="252" t="s">
        <v>94</v>
      </c>
      <c r="G47" s="252"/>
      <c r="H47" s="55"/>
      <c r="I47" s="55"/>
    </row>
    <row r="48" spans="2:16" ht="9.75" customHeight="1">
      <c r="B48" s="55"/>
      <c r="C48" s="56"/>
      <c r="D48" s="56"/>
      <c r="E48" s="220"/>
      <c r="F48" s="252"/>
      <c r="G48" s="252"/>
      <c r="H48" s="55"/>
      <c r="I48" s="55"/>
    </row>
    <row r="49" spans="2:9" ht="13.5" customHeight="1">
      <c r="B49" s="55" t="s">
        <v>80</v>
      </c>
      <c r="C49" s="237" t="s">
        <v>158</v>
      </c>
      <c r="D49" s="237"/>
      <c r="E49" s="237"/>
      <c r="F49" s="252" t="s">
        <v>96</v>
      </c>
      <c r="G49" s="252"/>
      <c r="H49" s="55"/>
      <c r="I49" s="8"/>
    </row>
    <row r="50" spans="2:9" ht="6.75" customHeight="1">
      <c r="B50" s="57"/>
      <c r="C50" s="58"/>
      <c r="D50" s="58"/>
      <c r="E50" s="220"/>
      <c r="F50" s="59"/>
      <c r="G50" s="57"/>
      <c r="H50" s="60"/>
      <c r="I50" s="55"/>
    </row>
    <row r="51" spans="2:9" ht="14.25" customHeight="1">
      <c r="B51" s="55" t="s">
        <v>81</v>
      </c>
      <c r="C51" s="237" t="s">
        <v>158</v>
      </c>
      <c r="D51" s="237"/>
      <c r="E51" s="237"/>
      <c r="F51" s="252" t="s">
        <v>96</v>
      </c>
      <c r="G51" s="252"/>
      <c r="H51" s="55"/>
      <c r="I51" s="4"/>
    </row>
    <row r="52" spans="2:9">
      <c r="B52" s="11"/>
      <c r="C52" s="73"/>
      <c r="D52" s="74"/>
      <c r="E52" s="74"/>
      <c r="F52" s="11"/>
      <c r="G52" s="11"/>
    </row>
    <row r="53" spans="2:9">
      <c r="C53" s="1"/>
      <c r="D53" s="1"/>
      <c r="E53" s="1"/>
    </row>
  </sheetData>
  <mergeCells count="57">
    <mergeCell ref="M23:M24"/>
    <mergeCell ref="N23:N24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39:D39"/>
    <mergeCell ref="B16:H16"/>
    <mergeCell ref="C17:D17"/>
    <mergeCell ref="E17:F17"/>
    <mergeCell ref="G17:H17"/>
    <mergeCell ref="C18:D18"/>
    <mergeCell ref="E18:F18"/>
    <mergeCell ref="G18:H18"/>
    <mergeCell ref="G39:H39"/>
    <mergeCell ref="E39:F39"/>
    <mergeCell ref="E40:F40"/>
    <mergeCell ref="F47:G47"/>
    <mergeCell ref="F45:G45"/>
    <mergeCell ref="G42:H42"/>
    <mergeCell ref="G43:H43"/>
    <mergeCell ref="C47:E47"/>
    <mergeCell ref="C40:D40"/>
    <mergeCell ref="C41:D41"/>
    <mergeCell ref="C42:D42"/>
    <mergeCell ref="C43:D43"/>
    <mergeCell ref="C45:E45"/>
    <mergeCell ref="G41:H41"/>
    <mergeCell ref="G40:H40"/>
    <mergeCell ref="F51:G51"/>
    <mergeCell ref="E41:F41"/>
    <mergeCell ref="F48:G48"/>
    <mergeCell ref="E42:F42"/>
    <mergeCell ref="E43:F43"/>
    <mergeCell ref="C49:E49"/>
    <mergeCell ref="F49:G49"/>
    <mergeCell ref="C51:E51"/>
    <mergeCell ref="F46:G46"/>
    <mergeCell ref="B1:H1"/>
    <mergeCell ref="D8:E8"/>
    <mergeCell ref="B5:H6"/>
    <mergeCell ref="B38:H38"/>
    <mergeCell ref="B23:H23"/>
    <mergeCell ref="B24:B25"/>
    <mergeCell ref="C24:C25"/>
    <mergeCell ref="D24:D25"/>
    <mergeCell ref="E24:E25"/>
    <mergeCell ref="F24:G24"/>
    <mergeCell ref="H24:H25"/>
    <mergeCell ref="B2:H2"/>
    <mergeCell ref="B3:H3"/>
    <mergeCell ref="B4:H4"/>
  </mergeCells>
  <printOptions horizontalCentered="1"/>
  <pageMargins left="0.19685039370078741" right="0.19685039370078741" top="0.15748031496062992" bottom="0.23622047244094491" header="0.15" footer="0.31496062992125984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N51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4.85546875" style="139" customWidth="1"/>
    <col min="4" max="4" width="8.85546875" style="4" customWidth="1"/>
    <col min="5" max="5" width="10.140625" style="4" customWidth="1"/>
    <col min="6" max="6" width="10.140625" style="1" customWidth="1"/>
    <col min="7" max="7" width="10.28515625" style="1" customWidth="1"/>
    <col min="8" max="8" width="10.85546875" style="1" customWidth="1"/>
    <col min="9" max="10" width="14.5703125" style="1" customWidth="1"/>
    <col min="11" max="12" width="9.140625" style="1"/>
    <col min="13" max="13" width="15.140625" style="298" customWidth="1"/>
    <col min="14" max="14" width="14.85546875" style="298" customWidth="1"/>
    <col min="15" max="16384" width="9.140625" style="1"/>
  </cols>
  <sheetData>
    <row r="1" spans="2:9">
      <c r="B1" s="221" t="s">
        <v>126</v>
      </c>
      <c r="C1" s="221"/>
      <c r="D1" s="221"/>
      <c r="E1" s="221"/>
      <c r="F1" s="221"/>
      <c r="G1" s="221"/>
      <c r="H1" s="221"/>
    </row>
    <row r="2" spans="2:9">
      <c r="B2" s="221" t="s">
        <v>127</v>
      </c>
      <c r="C2" s="221"/>
      <c r="D2" s="221"/>
      <c r="E2" s="221"/>
      <c r="F2" s="221"/>
      <c r="G2" s="221"/>
      <c r="H2" s="221"/>
    </row>
    <row r="3" spans="2:9">
      <c r="B3" s="221" t="s">
        <v>170</v>
      </c>
      <c r="C3" s="221"/>
      <c r="D3" s="221"/>
      <c r="E3" s="221"/>
      <c r="F3" s="221"/>
      <c r="G3" s="221"/>
      <c r="H3" s="221"/>
    </row>
    <row r="4" spans="2:9">
      <c r="B4" s="221" t="s">
        <v>191</v>
      </c>
      <c r="C4" s="221"/>
      <c r="D4" s="221"/>
      <c r="E4" s="221"/>
      <c r="F4" s="221"/>
      <c r="G4" s="221"/>
      <c r="H4" s="221"/>
    </row>
    <row r="5" spans="2:9" ht="23.25" customHeight="1">
      <c r="B5" s="238" t="s">
        <v>184</v>
      </c>
      <c r="C5" s="238"/>
      <c r="D5" s="238"/>
      <c r="E5" s="238"/>
      <c r="F5" s="238"/>
      <c r="G5" s="238"/>
      <c r="H5" s="238"/>
    </row>
    <row r="6" spans="2:9" ht="20.25" customHeight="1">
      <c r="B6" s="238"/>
      <c r="C6" s="238"/>
      <c r="D6" s="238"/>
      <c r="E6" s="238"/>
      <c r="F6" s="238"/>
      <c r="G6" s="238"/>
      <c r="H6" s="238"/>
    </row>
    <row r="7" spans="2:9" ht="8.25" customHeight="1"/>
    <row r="8" spans="2:9">
      <c r="B8" s="176" t="s">
        <v>0</v>
      </c>
      <c r="C8" s="187"/>
      <c r="D8" s="245" t="s">
        <v>49</v>
      </c>
      <c r="E8" s="245"/>
    </row>
    <row r="9" spans="2:9">
      <c r="B9" s="176" t="s">
        <v>1</v>
      </c>
      <c r="C9" s="187"/>
      <c r="D9" s="208">
        <v>1970</v>
      </c>
      <c r="E9" s="208"/>
    </row>
    <row r="10" spans="2:9" hidden="1" outlineLevel="1">
      <c r="B10" s="176" t="s">
        <v>2</v>
      </c>
      <c r="C10" s="187"/>
      <c r="D10" s="208">
        <v>4</v>
      </c>
      <c r="E10" s="208"/>
    </row>
    <row r="11" spans="2:9" hidden="1" outlineLevel="1">
      <c r="B11" s="176" t="s">
        <v>3</v>
      </c>
      <c r="C11" s="187"/>
      <c r="D11" s="208">
        <v>48</v>
      </c>
      <c r="E11" s="208"/>
    </row>
    <row r="12" spans="2:9" ht="30.75" hidden="1" customHeight="1" outlineLevel="1">
      <c r="B12" s="178" t="s">
        <v>4</v>
      </c>
      <c r="C12" s="188"/>
      <c r="D12" s="208" t="s">
        <v>50</v>
      </c>
      <c r="E12" s="208"/>
    </row>
    <row r="13" spans="2:9" collapsed="1">
      <c r="B13" s="176" t="s">
        <v>5</v>
      </c>
      <c r="C13" s="187"/>
      <c r="D13" s="208" t="s">
        <v>115</v>
      </c>
      <c r="E13" s="208"/>
      <c r="I13" s="7"/>
    </row>
    <row r="14" spans="2:9" hidden="1" outlineLevel="1">
      <c r="B14" s="1" t="s">
        <v>6</v>
      </c>
      <c r="D14" s="169" t="s">
        <v>7</v>
      </c>
      <c r="E14" s="169"/>
    </row>
    <row r="15" spans="2:9" ht="30.75" hidden="1" customHeight="1" outlineLevel="1">
      <c r="B15" s="18" t="s">
        <v>8</v>
      </c>
      <c r="C15" s="140"/>
      <c r="D15" s="209" t="s">
        <v>51</v>
      </c>
      <c r="E15" s="169"/>
      <c r="I15" s="7"/>
    </row>
    <row r="16" spans="2:9" ht="16.5" collapsed="1" thickBot="1">
      <c r="B16" s="250" t="s">
        <v>182</v>
      </c>
      <c r="C16" s="250"/>
      <c r="D16" s="250"/>
      <c r="E16" s="250"/>
      <c r="F16" s="250"/>
      <c r="G16" s="250"/>
      <c r="H16" s="250"/>
      <c r="I16" s="7"/>
    </row>
    <row r="17" spans="2:14" ht="42.7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7"/>
    </row>
    <row r="18" spans="2:14">
      <c r="B18" s="163" t="s">
        <v>11</v>
      </c>
      <c r="C18" s="222">
        <v>2011998.05</v>
      </c>
      <c r="D18" s="223"/>
      <c r="E18" s="228">
        <v>1543626.83</v>
      </c>
      <c r="F18" s="260"/>
      <c r="G18" s="228">
        <v>468371.22</v>
      </c>
      <c r="H18" s="229"/>
      <c r="I18" s="7"/>
    </row>
    <row r="19" spans="2:14">
      <c r="B19" s="164" t="s">
        <v>12</v>
      </c>
      <c r="C19" s="224">
        <v>1989717.3600000003</v>
      </c>
      <c r="D19" s="225"/>
      <c r="E19" s="224">
        <v>1527161.9800000002</v>
      </c>
      <c r="F19" s="261"/>
      <c r="G19" s="224">
        <v>462555.38</v>
      </c>
      <c r="H19" s="262"/>
      <c r="I19" s="7"/>
    </row>
    <row r="20" spans="2:14" ht="16.5" thickBot="1">
      <c r="B20" s="165" t="s">
        <v>89</v>
      </c>
      <c r="C20" s="226">
        <v>2000099.1431</v>
      </c>
      <c r="D20" s="227"/>
      <c r="E20" s="254">
        <v>1596552.1431</v>
      </c>
      <c r="F20" s="256"/>
      <c r="G20" s="254">
        <v>403547</v>
      </c>
      <c r="H20" s="255"/>
      <c r="I20" s="7"/>
    </row>
    <row r="21" spans="2:14" ht="31.5" customHeight="1" thickBot="1">
      <c r="B21" s="166" t="s">
        <v>153</v>
      </c>
      <c r="C21" s="232">
        <f>E21+G21</f>
        <v>-10381.783099999768</v>
      </c>
      <c r="D21" s="233"/>
      <c r="E21" s="234">
        <f>E19-E20</f>
        <v>-69390.163099999772</v>
      </c>
      <c r="F21" s="235"/>
      <c r="G21" s="234">
        <f>G19-G20</f>
        <v>59008.380000000005</v>
      </c>
      <c r="H21" s="236"/>
      <c r="I21" s="7"/>
    </row>
    <row r="22" spans="2:14">
      <c r="B22" s="18"/>
      <c r="C22" s="140"/>
      <c r="D22" s="209"/>
      <c r="E22" s="169"/>
      <c r="I22" s="7"/>
    </row>
    <row r="23" spans="2:14" ht="36.75" customHeight="1" thickBot="1">
      <c r="B23" s="247" t="s">
        <v>185</v>
      </c>
      <c r="C23" s="247"/>
      <c r="D23" s="247"/>
      <c r="E23" s="247"/>
      <c r="F23" s="247"/>
      <c r="G23" s="247"/>
      <c r="H23" s="247"/>
      <c r="L23" s="7"/>
      <c r="M23" s="299" t="s">
        <v>155</v>
      </c>
      <c r="N23" s="299" t="s">
        <v>156</v>
      </c>
    </row>
    <row r="24" spans="2:14" ht="31.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L24" s="7"/>
      <c r="M24" s="300"/>
      <c r="N24" s="300"/>
    </row>
    <row r="25" spans="2:14" ht="43.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M25" s="301">
        <v>250260.09</v>
      </c>
      <c r="N25" s="301">
        <f>250260.09*1.01</f>
        <v>252762.69089999999</v>
      </c>
    </row>
    <row r="26" spans="2:14" ht="38.25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26343.167368421051</v>
      </c>
      <c r="G26" s="27">
        <f>$N$25/$N$26*E26</f>
        <v>26606.599042105263</v>
      </c>
      <c r="H26" s="28">
        <f>F26-G26</f>
        <v>-263.431673684212</v>
      </c>
      <c r="I26" s="29"/>
      <c r="J26" s="207"/>
      <c r="K26" s="207"/>
      <c r="L26" s="30"/>
      <c r="M26" s="303">
        <f>E35-E33</f>
        <v>10.07</v>
      </c>
      <c r="N26" s="303">
        <f>E35-E33</f>
        <v>10.07</v>
      </c>
    </row>
    <row r="27" spans="2:14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4" si="0">$M$25/$M$26*E27</f>
        <v>29573.933177755709</v>
      </c>
      <c r="G27" s="27">
        <f t="shared" ref="G27:G31" si="1">$N$25/$N$26*E27</f>
        <v>29869.672509533262</v>
      </c>
      <c r="H27" s="28">
        <f t="shared" ref="H27:H32" si="2">F27-G27</f>
        <v>-295.73933177755316</v>
      </c>
      <c r="I27" s="34"/>
      <c r="J27" s="3"/>
      <c r="K27" s="3"/>
      <c r="L27" s="3"/>
      <c r="M27" s="304"/>
      <c r="N27" s="304"/>
    </row>
    <row r="28" spans="2:14" ht="41.25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7952.6542999006952</v>
      </c>
      <c r="G28" s="27">
        <f t="shared" si="1"/>
        <v>8032.180842899701</v>
      </c>
      <c r="H28" s="28">
        <f t="shared" si="2"/>
        <v>-79.526542999005869</v>
      </c>
      <c r="I28" s="36"/>
      <c r="L28" s="7"/>
    </row>
    <row r="29" spans="2:14" ht="26.25" customHeight="1">
      <c r="B29" s="35" t="s">
        <v>85</v>
      </c>
      <c r="C29" s="37" t="s">
        <v>101</v>
      </c>
      <c r="D29" s="24" t="s">
        <v>100</v>
      </c>
      <c r="E29" s="32">
        <v>0.28000000000000003</v>
      </c>
      <c r="F29" s="26">
        <f t="shared" si="0"/>
        <v>6958.5725124131086</v>
      </c>
      <c r="G29" s="27">
        <f t="shared" si="1"/>
        <v>7028.1582375372391</v>
      </c>
      <c r="H29" s="28">
        <f t="shared" si="2"/>
        <v>-69.585725124130477</v>
      </c>
      <c r="I29" s="36"/>
      <c r="L29" s="7"/>
    </row>
    <row r="30" spans="2:14" ht="51">
      <c r="B30" s="31" t="s">
        <v>88</v>
      </c>
      <c r="C30" s="23" t="s">
        <v>144</v>
      </c>
      <c r="D30" s="24" t="s">
        <v>100</v>
      </c>
      <c r="E30" s="32">
        <v>1.18</v>
      </c>
      <c r="F30" s="26">
        <f t="shared" si="0"/>
        <v>29325.412730883811</v>
      </c>
      <c r="G30" s="27">
        <f t="shared" si="1"/>
        <v>29618.666858192646</v>
      </c>
      <c r="H30" s="28">
        <f t="shared" si="2"/>
        <v>-293.25412730883545</v>
      </c>
      <c r="I30" s="36"/>
    </row>
    <row r="31" spans="2:14" ht="216" customHeight="1">
      <c r="B31" s="31" t="s">
        <v>128</v>
      </c>
      <c r="C31" s="23" t="s">
        <v>102</v>
      </c>
      <c r="D31" s="24" t="s">
        <v>100</v>
      </c>
      <c r="E31" s="32">
        <v>5.61</v>
      </c>
      <c r="F31" s="26">
        <f t="shared" si="0"/>
        <v>139419.97069513405</v>
      </c>
      <c r="G31" s="27">
        <f t="shared" si="1"/>
        <v>140814.17040208538</v>
      </c>
      <c r="H31" s="28">
        <f t="shared" si="2"/>
        <v>-1394.1997069513309</v>
      </c>
      <c r="I31" s="34"/>
      <c r="J31" s="3"/>
      <c r="K31" s="3"/>
      <c r="L31" s="6"/>
      <c r="M31" s="304"/>
      <c r="N31" s="304"/>
    </row>
    <row r="32" spans="2:14" ht="102">
      <c r="B32" s="31" t="s">
        <v>104</v>
      </c>
      <c r="C32" s="23" t="s">
        <v>99</v>
      </c>
      <c r="D32" s="24" t="s">
        <v>100</v>
      </c>
      <c r="E32" s="32">
        <v>0.24</v>
      </c>
      <c r="F32" s="26">
        <f t="shared" si="0"/>
        <v>5964.4907249255211</v>
      </c>
      <c r="G32" s="27">
        <f t="shared" ref="G32" si="3">$N$25/$N$26*E32</f>
        <v>6024.1356321747753</v>
      </c>
      <c r="H32" s="28">
        <f t="shared" si="2"/>
        <v>-59.644907249254175</v>
      </c>
      <c r="I32" s="36"/>
    </row>
    <row r="33" spans="2:14" ht="27.75" customHeight="1">
      <c r="B33" s="35" t="s">
        <v>92</v>
      </c>
      <c r="C33" s="23" t="s">
        <v>99</v>
      </c>
      <c r="D33" s="24" t="s">
        <v>100</v>
      </c>
      <c r="E33" s="32">
        <v>3.5</v>
      </c>
      <c r="F33" s="26">
        <v>86982.15</v>
      </c>
      <c r="G33" s="33">
        <v>53058</v>
      </c>
      <c r="H33" s="28">
        <f>F33-G33</f>
        <v>33924.149999999994</v>
      </c>
      <c r="I33" s="36"/>
      <c r="L33" s="7"/>
    </row>
    <row r="34" spans="2:14" ht="16.5" thickBot="1">
      <c r="B34" s="38" t="s">
        <v>86</v>
      </c>
      <c r="C34" s="39" t="s">
        <v>102</v>
      </c>
      <c r="D34" s="40" t="s">
        <v>100</v>
      </c>
      <c r="E34" s="41">
        <v>0.19</v>
      </c>
      <c r="F34" s="26">
        <f t="shared" si="0"/>
        <v>4721.8884905660379</v>
      </c>
      <c r="G34" s="27">
        <f t="shared" ref="G34" si="4">$N$25/$N$26*E34</f>
        <v>4769.1073754716972</v>
      </c>
      <c r="H34" s="28">
        <f>F34-G34</f>
        <v>-47.218884905659252</v>
      </c>
      <c r="I34" s="36"/>
    </row>
    <row r="35" spans="2:14" ht="16.5" thickBot="1">
      <c r="B35" s="42" t="s">
        <v>90</v>
      </c>
      <c r="C35" s="43"/>
      <c r="D35" s="43"/>
      <c r="E35" s="44">
        <f>SUM(E26:E34)</f>
        <v>13.57</v>
      </c>
      <c r="F35" s="45">
        <f>SUM(F26:F34)</f>
        <v>337242.24</v>
      </c>
      <c r="G35" s="46">
        <f>SUM(G26:G34)</f>
        <v>305820.69089999999</v>
      </c>
      <c r="H35" s="47">
        <f>SUM(H26:H34)</f>
        <v>31421.549100000015</v>
      </c>
      <c r="I35" s="69"/>
    </row>
    <row r="36" spans="2:14">
      <c r="B36" s="7"/>
      <c r="C36" s="7"/>
      <c r="D36" s="7"/>
      <c r="E36" s="17"/>
      <c r="F36" s="17"/>
      <c r="G36" s="17"/>
      <c r="H36" s="4"/>
    </row>
    <row r="37" spans="2:14" ht="16.5" customHeight="1" thickBot="1">
      <c r="B37" s="250" t="s">
        <v>187</v>
      </c>
      <c r="C37" s="250"/>
      <c r="D37" s="250"/>
      <c r="E37" s="250"/>
      <c r="F37" s="250"/>
      <c r="G37" s="250"/>
      <c r="H37" s="250"/>
      <c r="I37" s="48"/>
      <c r="J37" s="48"/>
    </row>
    <row r="38" spans="2:14" ht="45" customHeight="1" thickBot="1">
      <c r="B38" s="193" t="s">
        <v>188</v>
      </c>
      <c r="C38" s="230" t="s">
        <v>103</v>
      </c>
      <c r="D38" s="231"/>
      <c r="E38" s="257" t="s">
        <v>9</v>
      </c>
      <c r="F38" s="258"/>
      <c r="G38" s="257" t="s">
        <v>10</v>
      </c>
      <c r="H38" s="259"/>
      <c r="I38" s="182"/>
      <c r="J38" s="171"/>
      <c r="K38" s="49"/>
      <c r="L38" s="50"/>
      <c r="M38" s="305"/>
      <c r="N38" s="305"/>
    </row>
    <row r="39" spans="2:14">
      <c r="B39" s="163" t="s">
        <v>11</v>
      </c>
      <c r="C39" s="228">
        <f>E39+G39</f>
        <v>2349240.29</v>
      </c>
      <c r="D39" s="260"/>
      <c r="E39" s="228">
        <f>F26+F27+F28+F29+F30+F31+F32+F34+E18</f>
        <v>1793886.9200000002</v>
      </c>
      <c r="F39" s="260"/>
      <c r="G39" s="228">
        <f>F33+G18</f>
        <v>555353.37</v>
      </c>
      <c r="H39" s="229"/>
      <c r="I39" s="172"/>
      <c r="J39" s="173"/>
      <c r="K39" s="52"/>
      <c r="L39" s="52"/>
      <c r="M39" s="306"/>
    </row>
    <row r="40" spans="2:14">
      <c r="B40" s="164" t="s">
        <v>12</v>
      </c>
      <c r="C40" s="224">
        <f>E40+G40</f>
        <v>2321012.6300000004</v>
      </c>
      <c r="D40" s="261"/>
      <c r="E40" s="224">
        <f>E19+245846.97</f>
        <v>1773008.9500000002</v>
      </c>
      <c r="F40" s="261"/>
      <c r="G40" s="224">
        <f>G19+85448.3</f>
        <v>548003.68000000005</v>
      </c>
      <c r="H40" s="262"/>
      <c r="I40" s="172"/>
      <c r="J40" s="174"/>
      <c r="K40" s="54"/>
      <c r="L40" s="52"/>
      <c r="M40" s="306"/>
    </row>
    <row r="41" spans="2:14" ht="16.5" thickBot="1">
      <c r="B41" s="165" t="s">
        <v>89</v>
      </c>
      <c r="C41" s="254">
        <f>E41+G41</f>
        <v>2305919.8339999998</v>
      </c>
      <c r="D41" s="256"/>
      <c r="E41" s="254">
        <f>G26+G27+G28+G29+G30+G31+G32+G34+E20</f>
        <v>1849314.834</v>
      </c>
      <c r="F41" s="256"/>
      <c r="G41" s="254">
        <f>G33+G20</f>
        <v>456605</v>
      </c>
      <c r="H41" s="255"/>
      <c r="I41" s="172"/>
      <c r="J41" s="51"/>
      <c r="K41" s="36"/>
      <c r="L41" s="36"/>
    </row>
    <row r="42" spans="2:14" ht="30" customHeight="1" thickBot="1">
      <c r="B42" s="166" t="s">
        <v>154</v>
      </c>
      <c r="C42" s="232">
        <f>E42+G42</f>
        <v>15092.796000000206</v>
      </c>
      <c r="D42" s="233"/>
      <c r="E42" s="234">
        <f>E40-E41</f>
        <v>-76305.883999999845</v>
      </c>
      <c r="F42" s="235"/>
      <c r="G42" s="234">
        <f>G40-G41</f>
        <v>91398.680000000051</v>
      </c>
      <c r="H42" s="236"/>
      <c r="I42" s="175"/>
      <c r="J42" s="159"/>
      <c r="K42" s="36"/>
      <c r="L42" s="36"/>
    </row>
    <row r="43" spans="2:14" ht="15" customHeight="1">
      <c r="B43" s="82"/>
      <c r="C43" s="157"/>
      <c r="D43" s="157"/>
      <c r="E43" s="159"/>
      <c r="F43" s="159"/>
      <c r="G43" s="159"/>
      <c r="H43" s="159"/>
      <c r="I43" s="183"/>
      <c r="J43" s="34"/>
      <c r="K43" s="3"/>
      <c r="L43" s="3"/>
      <c r="M43" s="304"/>
      <c r="N43" s="304"/>
    </row>
    <row r="44" spans="2:14" ht="15.75" customHeight="1">
      <c r="B44" s="55" t="s">
        <v>78</v>
      </c>
      <c r="C44" s="237" t="s">
        <v>157</v>
      </c>
      <c r="D44" s="237"/>
      <c r="E44" s="237"/>
      <c r="F44" s="252" t="s">
        <v>13</v>
      </c>
      <c r="G44" s="252"/>
      <c r="H44" s="55"/>
      <c r="I44" s="183"/>
      <c r="J44" s="34"/>
      <c r="K44" s="3"/>
      <c r="L44" s="3"/>
      <c r="M44" s="304"/>
      <c r="N44" s="304"/>
    </row>
    <row r="45" spans="2:14" ht="8.25" customHeight="1">
      <c r="B45" s="55"/>
      <c r="C45" s="56"/>
      <c r="D45" s="56"/>
      <c r="E45" s="220"/>
      <c r="F45" s="253"/>
      <c r="G45" s="253"/>
      <c r="H45" s="55"/>
      <c r="I45" s="183"/>
      <c r="J45" s="34"/>
      <c r="K45" s="3"/>
      <c r="L45" s="3"/>
      <c r="M45" s="304"/>
      <c r="N45" s="304"/>
    </row>
    <row r="46" spans="2:14" ht="15.75" customHeight="1">
      <c r="B46" s="55" t="s">
        <v>79</v>
      </c>
      <c r="C46" s="237" t="s">
        <v>157</v>
      </c>
      <c r="D46" s="237"/>
      <c r="E46" s="237"/>
      <c r="F46" s="252" t="s">
        <v>94</v>
      </c>
      <c r="G46" s="252"/>
      <c r="H46" s="55"/>
      <c r="I46" s="55"/>
    </row>
    <row r="47" spans="2:14" ht="6" customHeight="1">
      <c r="B47" s="55"/>
      <c r="C47" s="56"/>
      <c r="D47" s="56"/>
      <c r="E47" s="220"/>
      <c r="F47" s="252"/>
      <c r="G47" s="252"/>
      <c r="H47" s="55"/>
      <c r="I47" s="55"/>
    </row>
    <row r="48" spans="2:14" ht="16.5" customHeight="1">
      <c r="B48" s="55" t="s">
        <v>80</v>
      </c>
      <c r="C48" s="237" t="s">
        <v>158</v>
      </c>
      <c r="D48" s="237"/>
      <c r="E48" s="237"/>
      <c r="F48" s="252" t="s">
        <v>96</v>
      </c>
      <c r="G48" s="252"/>
      <c r="H48" s="55"/>
      <c r="I48" s="8"/>
    </row>
    <row r="49" spans="2:9" ht="9" customHeight="1">
      <c r="B49" s="57"/>
      <c r="C49" s="58"/>
      <c r="D49" s="58"/>
      <c r="E49" s="220"/>
      <c r="F49" s="59"/>
      <c r="G49" s="57"/>
      <c r="H49" s="60"/>
      <c r="I49" s="55"/>
    </row>
    <row r="50" spans="2:9" ht="15.75" customHeight="1">
      <c r="B50" s="55" t="s">
        <v>81</v>
      </c>
      <c r="C50" s="237" t="s">
        <v>158</v>
      </c>
      <c r="D50" s="237"/>
      <c r="E50" s="237"/>
      <c r="F50" s="252" t="s">
        <v>96</v>
      </c>
      <c r="G50" s="252"/>
      <c r="H50" s="55"/>
      <c r="I50" s="4"/>
    </row>
    <row r="51" spans="2:9">
      <c r="B51" s="11"/>
      <c r="C51" s="148"/>
      <c r="D51" s="74"/>
      <c r="E51" s="220"/>
      <c r="F51" s="11"/>
      <c r="G51" s="11"/>
    </row>
  </sheetData>
  <mergeCells count="57">
    <mergeCell ref="M23:M24"/>
    <mergeCell ref="N23:N24"/>
    <mergeCell ref="G42:H42"/>
    <mergeCell ref="E19:F19"/>
    <mergeCell ref="G19:H19"/>
    <mergeCell ref="G41:H41"/>
    <mergeCell ref="G40:H40"/>
    <mergeCell ref="G39:H39"/>
    <mergeCell ref="F24:G24"/>
    <mergeCell ref="H24:H25"/>
    <mergeCell ref="G38:H38"/>
    <mergeCell ref="B37:H37"/>
    <mergeCell ref="B24:B25"/>
    <mergeCell ref="C24:C25"/>
    <mergeCell ref="D24:D25"/>
    <mergeCell ref="E24:E25"/>
    <mergeCell ref="C42:D42"/>
    <mergeCell ref="E38:F38"/>
    <mergeCell ref="F50:G50"/>
    <mergeCell ref="F47:G47"/>
    <mergeCell ref="E41:F41"/>
    <mergeCell ref="E42:F42"/>
    <mergeCell ref="E40:F40"/>
    <mergeCell ref="E39:F39"/>
    <mergeCell ref="F46:G46"/>
    <mergeCell ref="F45:G45"/>
    <mergeCell ref="C44:E44"/>
    <mergeCell ref="C46:E46"/>
    <mergeCell ref="C48:E48"/>
    <mergeCell ref="F48:G48"/>
    <mergeCell ref="C50:E50"/>
    <mergeCell ref="F44:G44"/>
    <mergeCell ref="C40:D40"/>
    <mergeCell ref="C41:D41"/>
    <mergeCell ref="B1:H1"/>
    <mergeCell ref="B5:H6"/>
    <mergeCell ref="D8:E8"/>
    <mergeCell ref="B23:H23"/>
    <mergeCell ref="B2:H2"/>
    <mergeCell ref="B3:H3"/>
    <mergeCell ref="B4:H4"/>
    <mergeCell ref="B16:H16"/>
    <mergeCell ref="C17:D17"/>
    <mergeCell ref="E17:F17"/>
    <mergeCell ref="G17:H17"/>
    <mergeCell ref="C18:D18"/>
    <mergeCell ref="C20:D20"/>
    <mergeCell ref="E20:F20"/>
    <mergeCell ref="E18:F18"/>
    <mergeCell ref="G18:H18"/>
    <mergeCell ref="C19:D19"/>
    <mergeCell ref="C38:D38"/>
    <mergeCell ref="C39:D39"/>
    <mergeCell ref="G20:H20"/>
    <mergeCell ref="C21:D21"/>
    <mergeCell ref="E21:F21"/>
    <mergeCell ref="G21:H21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N53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6.140625" style="1" customWidth="1"/>
    <col min="3" max="3" width="14.7109375" style="139" customWidth="1"/>
    <col min="4" max="4" width="9.140625" style="4" customWidth="1"/>
    <col min="5" max="5" width="9.42578125" style="4" customWidth="1"/>
    <col min="6" max="6" width="9.7109375" style="1" customWidth="1"/>
    <col min="7" max="7" width="10.42578125" style="1" customWidth="1"/>
    <col min="8" max="8" width="10.7109375" style="1" customWidth="1"/>
    <col min="9" max="9" width="15.5703125" style="1" customWidth="1"/>
    <col min="10" max="10" width="16" style="1" customWidth="1"/>
    <col min="11" max="12" width="9.140625" style="1"/>
    <col min="13" max="13" width="18" style="298" customWidth="1"/>
    <col min="14" max="14" width="18.28515625" style="298" customWidth="1"/>
    <col min="15" max="16384" width="9.140625" style="1"/>
  </cols>
  <sheetData>
    <row r="1" spans="2:8">
      <c r="B1" s="221" t="s">
        <v>126</v>
      </c>
      <c r="C1" s="221"/>
      <c r="D1" s="221"/>
      <c r="E1" s="221"/>
      <c r="F1" s="221"/>
      <c r="G1" s="221"/>
      <c r="H1" s="221"/>
    </row>
    <row r="2" spans="2:8">
      <c r="B2" s="221" t="s">
        <v>127</v>
      </c>
      <c r="C2" s="221"/>
      <c r="D2" s="221"/>
      <c r="E2" s="221"/>
      <c r="F2" s="221"/>
      <c r="G2" s="221"/>
      <c r="H2" s="221"/>
    </row>
    <row r="3" spans="2:8">
      <c r="B3" s="221" t="s">
        <v>171</v>
      </c>
      <c r="C3" s="221"/>
      <c r="D3" s="221"/>
      <c r="E3" s="221"/>
      <c r="F3" s="221"/>
      <c r="G3" s="221"/>
      <c r="H3" s="221"/>
    </row>
    <row r="4" spans="2:8">
      <c r="B4" s="221" t="s">
        <v>191</v>
      </c>
      <c r="C4" s="221"/>
      <c r="D4" s="221"/>
      <c r="E4" s="221"/>
      <c r="F4" s="221"/>
      <c r="G4" s="221"/>
      <c r="H4" s="221"/>
    </row>
    <row r="5" spans="2:8" ht="23.25" customHeight="1">
      <c r="B5" s="238" t="s">
        <v>184</v>
      </c>
      <c r="C5" s="238"/>
      <c r="D5" s="238"/>
      <c r="E5" s="238"/>
      <c r="F5" s="238"/>
      <c r="G5" s="238"/>
      <c r="H5" s="238"/>
    </row>
    <row r="6" spans="2:8" ht="20.25" customHeight="1">
      <c r="B6" s="238"/>
      <c r="C6" s="238"/>
      <c r="D6" s="238"/>
      <c r="E6" s="238"/>
      <c r="F6" s="238"/>
      <c r="G6" s="238"/>
      <c r="H6" s="238"/>
    </row>
    <row r="7" spans="2:8" ht="8.25" customHeight="1"/>
    <row r="8" spans="2:8">
      <c r="B8" s="176" t="s">
        <v>0</v>
      </c>
      <c r="C8" s="187"/>
      <c r="D8" s="245" t="s">
        <v>52</v>
      </c>
      <c r="E8" s="245"/>
    </row>
    <row r="9" spans="2:8">
      <c r="B9" s="176" t="s">
        <v>1</v>
      </c>
      <c r="C9" s="187"/>
      <c r="D9" s="208">
        <v>1966</v>
      </c>
      <c r="E9" s="208"/>
    </row>
    <row r="10" spans="2:8" hidden="1" outlineLevel="1">
      <c r="B10" s="176" t="s">
        <v>2</v>
      </c>
      <c r="C10" s="187"/>
      <c r="D10" s="208">
        <v>4</v>
      </c>
      <c r="E10" s="208"/>
    </row>
    <row r="11" spans="2:8" hidden="1" outlineLevel="1">
      <c r="B11" s="176" t="s">
        <v>3</v>
      </c>
      <c r="C11" s="187"/>
      <c r="D11" s="208">
        <v>48</v>
      </c>
      <c r="E11" s="208"/>
    </row>
    <row r="12" spans="2:8" ht="30.75" hidden="1" customHeight="1" outlineLevel="1">
      <c r="B12" s="178" t="s">
        <v>4</v>
      </c>
      <c r="C12" s="188"/>
      <c r="D12" s="208" t="s">
        <v>53</v>
      </c>
      <c r="E12" s="208"/>
    </row>
    <row r="13" spans="2:8" collapsed="1">
      <c r="B13" s="176" t="s">
        <v>5</v>
      </c>
      <c r="C13" s="187"/>
      <c r="D13" s="208" t="s">
        <v>116</v>
      </c>
      <c r="E13" s="208"/>
      <c r="H13" s="7"/>
    </row>
    <row r="14" spans="2:8" hidden="1" outlineLevel="1">
      <c r="B14" s="1" t="s">
        <v>6</v>
      </c>
      <c r="D14" s="169" t="s">
        <v>7</v>
      </c>
      <c r="E14" s="169"/>
    </row>
    <row r="15" spans="2:8" ht="30.75" hidden="1" customHeight="1" outlineLevel="1">
      <c r="B15" s="18" t="s">
        <v>8</v>
      </c>
      <c r="C15" s="140"/>
      <c r="D15" s="209" t="s">
        <v>54</v>
      </c>
      <c r="E15" s="169"/>
      <c r="H15" s="7"/>
    </row>
    <row r="16" spans="2:8" ht="16.5" collapsed="1" thickBot="1">
      <c r="B16" s="250" t="s">
        <v>182</v>
      </c>
      <c r="C16" s="250"/>
      <c r="D16" s="250"/>
      <c r="E16" s="250"/>
      <c r="F16" s="250"/>
      <c r="G16" s="250"/>
      <c r="H16" s="250"/>
    </row>
    <row r="17" spans="2:14" ht="45.7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</row>
    <row r="18" spans="2:14">
      <c r="B18" s="163" t="s">
        <v>11</v>
      </c>
      <c r="C18" s="222">
        <v>1958581.2600000002</v>
      </c>
      <c r="D18" s="223"/>
      <c r="E18" s="228">
        <v>1568439.35</v>
      </c>
      <c r="F18" s="260"/>
      <c r="G18" s="228">
        <v>390141.91000000003</v>
      </c>
      <c r="H18" s="229"/>
    </row>
    <row r="19" spans="2:14">
      <c r="B19" s="164" t="s">
        <v>12</v>
      </c>
      <c r="C19" s="224">
        <v>1822824.99</v>
      </c>
      <c r="D19" s="225"/>
      <c r="E19" s="224">
        <v>1460013.92</v>
      </c>
      <c r="F19" s="261"/>
      <c r="G19" s="224">
        <v>362811.07</v>
      </c>
      <c r="H19" s="262"/>
    </row>
    <row r="20" spans="2:14" ht="16.5" thickBot="1">
      <c r="B20" s="165" t="s">
        <v>89</v>
      </c>
      <c r="C20" s="226">
        <v>1875120.3162</v>
      </c>
      <c r="D20" s="227"/>
      <c r="E20" s="254">
        <v>1535218.3162</v>
      </c>
      <c r="F20" s="256"/>
      <c r="G20" s="254">
        <v>339902</v>
      </c>
      <c r="H20" s="255"/>
    </row>
    <row r="21" spans="2:14" ht="28.5" customHeight="1" thickBot="1">
      <c r="B21" s="166" t="s">
        <v>153</v>
      </c>
      <c r="C21" s="232">
        <f>E21+G21</f>
        <v>-52295.326200000069</v>
      </c>
      <c r="D21" s="233"/>
      <c r="E21" s="234">
        <f>E19-E20</f>
        <v>-75204.396200000076</v>
      </c>
      <c r="F21" s="235"/>
      <c r="G21" s="234">
        <f>G19-G20</f>
        <v>22909.070000000007</v>
      </c>
      <c r="H21" s="236"/>
    </row>
    <row r="22" spans="2:14">
      <c r="B22" s="18"/>
      <c r="C22" s="140"/>
      <c r="D22" s="209"/>
      <c r="E22" s="169"/>
      <c r="H22" s="7"/>
    </row>
    <row r="23" spans="2:14" ht="33.75" customHeight="1" thickBot="1">
      <c r="B23" s="247" t="s">
        <v>185</v>
      </c>
      <c r="C23" s="247"/>
      <c r="D23" s="247"/>
      <c r="E23" s="247"/>
      <c r="F23" s="247"/>
      <c r="G23" s="247"/>
      <c r="H23" s="247"/>
      <c r="L23" s="7"/>
      <c r="M23" s="299" t="s">
        <v>155</v>
      </c>
      <c r="N23" s="299" t="s">
        <v>156</v>
      </c>
    </row>
    <row r="24" spans="2:14" ht="33.7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L24" s="7"/>
      <c r="M24" s="300"/>
      <c r="N24" s="300"/>
    </row>
    <row r="25" spans="2:14" ht="37.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M25" s="301">
        <v>252701.26</v>
      </c>
      <c r="N25" s="301">
        <f>252701.26*1.01</f>
        <v>255228.27260000003</v>
      </c>
    </row>
    <row r="26" spans="2:14" ht="38.25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25317.895614366727</v>
      </c>
      <c r="G26" s="27">
        <f>$N$25/$N$26*E26</f>
        <v>25571.074570510398</v>
      </c>
      <c r="H26" s="28">
        <f>F26-G26</f>
        <v>-253.1789561436708</v>
      </c>
      <c r="I26" s="29"/>
      <c r="J26" s="207"/>
      <c r="K26" s="207"/>
      <c r="L26" s="30"/>
      <c r="M26" s="303">
        <f>E36-E34</f>
        <v>10.580000000000002</v>
      </c>
      <c r="N26" s="303">
        <f>E36-E34</f>
        <v>10.580000000000002</v>
      </c>
    </row>
    <row r="27" spans="2:14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5" si="0">$M$25/$M$26*E27</f>
        <v>28422.920548204154</v>
      </c>
      <c r="G27" s="27">
        <f t="shared" ref="G27:G28" si="1">$N$25/$N$26*E27</f>
        <v>28707.149753686197</v>
      </c>
      <c r="H27" s="28">
        <f t="shared" ref="H27:H33" si="2">F27-G27</f>
        <v>-284.22920548204274</v>
      </c>
      <c r="I27" s="34"/>
      <c r="J27" s="3"/>
      <c r="K27" s="3"/>
      <c r="L27" s="3"/>
      <c r="M27" s="304"/>
      <c r="N27" s="304"/>
    </row>
    <row r="28" spans="2:14" ht="27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7643.1382986767476</v>
      </c>
      <c r="G28" s="27">
        <f t="shared" si="1"/>
        <v>7719.5696816635154</v>
      </c>
      <c r="H28" s="28">
        <f t="shared" si="2"/>
        <v>-76.431382986767858</v>
      </c>
      <c r="I28" s="36"/>
      <c r="L28" s="7"/>
    </row>
    <row r="29" spans="2:14" ht="25.5">
      <c r="B29" s="35" t="s">
        <v>85</v>
      </c>
      <c r="C29" s="37" t="s">
        <v>101</v>
      </c>
      <c r="D29" s="24" t="s">
        <v>100</v>
      </c>
      <c r="E29" s="32">
        <v>0.26</v>
      </c>
      <c r="F29" s="26">
        <f t="shared" si="0"/>
        <v>6210.0498676748575</v>
      </c>
      <c r="G29" s="27">
        <f t="shared" ref="G29:G32" si="3">$N$25/$N$26*E29</f>
        <v>6272.1503663516069</v>
      </c>
      <c r="H29" s="28">
        <f t="shared" si="2"/>
        <v>-62.100498676749339</v>
      </c>
      <c r="I29" s="36"/>
      <c r="L29" s="7"/>
    </row>
    <row r="30" spans="2:14">
      <c r="B30" s="35" t="s">
        <v>179</v>
      </c>
      <c r="C30" s="189" t="s">
        <v>180</v>
      </c>
      <c r="D30" s="24" t="s">
        <v>100</v>
      </c>
      <c r="E30" s="32"/>
      <c r="F30" s="26"/>
      <c r="G30" s="27"/>
      <c r="H30" s="28">
        <f t="shared" si="2"/>
        <v>0</v>
      </c>
      <c r="I30" s="36"/>
      <c r="L30" s="7"/>
    </row>
    <row r="31" spans="2:14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28184.072476370504</v>
      </c>
      <c r="G31" s="27">
        <f t="shared" si="3"/>
        <v>28465.913201134212</v>
      </c>
      <c r="H31" s="28">
        <f t="shared" si="2"/>
        <v>-281.84072476370784</v>
      </c>
      <c r="I31" s="36"/>
    </row>
    <row r="32" spans="2:14" ht="215.25" customHeight="1">
      <c r="B32" s="31" t="s">
        <v>128</v>
      </c>
      <c r="C32" s="23" t="s">
        <v>102</v>
      </c>
      <c r="D32" s="24" t="s">
        <v>100</v>
      </c>
      <c r="E32" s="32">
        <v>5.61</v>
      </c>
      <c r="F32" s="26">
        <f t="shared" si="0"/>
        <v>133993.76829867673</v>
      </c>
      <c r="G32" s="27">
        <f t="shared" si="3"/>
        <v>135333.70598166352</v>
      </c>
      <c r="H32" s="28">
        <f t="shared" si="2"/>
        <v>-1339.9376829867833</v>
      </c>
      <c r="I32" s="34"/>
      <c r="J32" s="3"/>
      <c r="K32" s="3"/>
      <c r="L32" s="6"/>
      <c r="M32" s="304"/>
      <c r="N32" s="304"/>
    </row>
    <row r="33" spans="2:14" ht="105.75" customHeight="1">
      <c r="B33" s="31" t="s">
        <v>104</v>
      </c>
      <c r="C33" s="23" t="s">
        <v>99</v>
      </c>
      <c r="D33" s="24" t="s">
        <v>100</v>
      </c>
      <c r="E33" s="32">
        <v>0.24</v>
      </c>
      <c r="F33" s="26">
        <f t="shared" si="0"/>
        <v>5732.3537240075602</v>
      </c>
      <c r="G33" s="27">
        <f t="shared" ref="G33" si="4">$N$25/$N$26*E33</f>
        <v>5789.6772612476361</v>
      </c>
      <c r="H33" s="28">
        <f t="shared" si="2"/>
        <v>-57.323537240075893</v>
      </c>
      <c r="I33" s="36"/>
    </row>
    <row r="34" spans="2:14" ht="27.75" customHeight="1">
      <c r="B34" s="35" t="s">
        <v>92</v>
      </c>
      <c r="C34" s="23" t="s">
        <v>99</v>
      </c>
      <c r="D34" s="24" t="s">
        <v>100</v>
      </c>
      <c r="E34" s="32">
        <v>3</v>
      </c>
      <c r="F34" s="26">
        <v>71654.42</v>
      </c>
      <c r="G34" s="33">
        <v>40124</v>
      </c>
      <c r="H34" s="28">
        <f>F34-G34</f>
        <v>31530.42</v>
      </c>
      <c r="I34" s="36"/>
      <c r="L34" s="7"/>
    </row>
    <row r="35" spans="2:14" ht="16.5" thickBot="1">
      <c r="B35" s="66" t="s">
        <v>86</v>
      </c>
      <c r="C35" s="39" t="s">
        <v>102</v>
      </c>
      <c r="D35" s="40" t="s">
        <v>100</v>
      </c>
      <c r="E35" s="41">
        <v>0.72</v>
      </c>
      <c r="F35" s="26">
        <f t="shared" si="0"/>
        <v>17197.061172022681</v>
      </c>
      <c r="G35" s="27">
        <f t="shared" ref="G35" si="5">$N$25/$N$26*E35</f>
        <v>17369.03178374291</v>
      </c>
      <c r="H35" s="28">
        <f>F35-G35</f>
        <v>-171.9706117202295</v>
      </c>
      <c r="I35" s="36"/>
    </row>
    <row r="36" spans="2:14" ht="16.5" thickBot="1">
      <c r="B36" s="42" t="s">
        <v>90</v>
      </c>
      <c r="C36" s="43"/>
      <c r="D36" s="43"/>
      <c r="E36" s="44">
        <f>SUM(E26:E35)</f>
        <v>13.580000000000002</v>
      </c>
      <c r="F36" s="45">
        <f>SUM(F26:F35)</f>
        <v>324355.67999999993</v>
      </c>
      <c r="G36" s="46">
        <f>SUM(G26:G35)</f>
        <v>295352.27259999997</v>
      </c>
      <c r="H36" s="47">
        <f>SUM(H26:H35)</f>
        <v>29003.407399999971</v>
      </c>
      <c r="I36" s="69"/>
    </row>
    <row r="37" spans="2:14">
      <c r="B37" s="7"/>
      <c r="C37" s="7"/>
      <c r="D37" s="7"/>
      <c r="E37" s="17"/>
      <c r="F37" s="17"/>
      <c r="G37" s="17"/>
      <c r="H37" s="4"/>
    </row>
    <row r="38" spans="2:14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48"/>
      <c r="J38" s="48"/>
    </row>
    <row r="39" spans="2:14" ht="52.5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70"/>
      <c r="J39" s="171"/>
      <c r="K39" s="49"/>
      <c r="L39" s="50"/>
      <c r="M39" s="305"/>
      <c r="N39" s="305"/>
    </row>
    <row r="40" spans="2:14">
      <c r="B40" s="163" t="s">
        <v>11</v>
      </c>
      <c r="C40" s="222">
        <f>E40+G40</f>
        <v>2282936.94</v>
      </c>
      <c r="D40" s="276"/>
      <c r="E40" s="222">
        <f>F26+F27+F28+F29+F31+F32+F33+F35+E18</f>
        <v>1821140.61</v>
      </c>
      <c r="F40" s="276"/>
      <c r="G40" s="222">
        <f>F34+G18</f>
        <v>461796.33</v>
      </c>
      <c r="H40" s="278"/>
      <c r="I40" s="172"/>
      <c r="J40" s="173"/>
      <c r="K40" s="52"/>
      <c r="L40" s="52"/>
      <c r="M40" s="306"/>
    </row>
    <row r="41" spans="2:14">
      <c r="B41" s="164" t="s">
        <v>12</v>
      </c>
      <c r="C41" s="224">
        <f>E41+G41</f>
        <v>2145338.92</v>
      </c>
      <c r="D41" s="261"/>
      <c r="E41" s="224">
        <f>E19+251266.38</f>
        <v>1711280.2999999998</v>
      </c>
      <c r="F41" s="261"/>
      <c r="G41" s="224">
        <f>G19+71247.55</f>
        <v>434058.62</v>
      </c>
      <c r="H41" s="262"/>
      <c r="I41" s="172"/>
      <c r="J41" s="174"/>
      <c r="K41" s="54"/>
      <c r="L41" s="52"/>
      <c r="M41" s="306"/>
    </row>
    <row r="42" spans="2:14" ht="16.5" thickBot="1">
      <c r="B42" s="165" t="s">
        <v>89</v>
      </c>
      <c r="C42" s="226">
        <f>E42+G42</f>
        <v>2170472.5888</v>
      </c>
      <c r="D42" s="277"/>
      <c r="E42" s="226">
        <f>G26+G27+G28+G29+G31+G32+G33+G35+E20</f>
        <v>1790446.5888</v>
      </c>
      <c r="F42" s="277"/>
      <c r="G42" s="226">
        <f>G34+G20</f>
        <v>380026</v>
      </c>
      <c r="H42" s="279"/>
      <c r="I42" s="172"/>
      <c r="J42" s="51"/>
      <c r="K42" s="36"/>
      <c r="L42" s="36"/>
    </row>
    <row r="43" spans="2:14" ht="31.5" customHeight="1" thickBot="1">
      <c r="B43" s="166" t="s">
        <v>154</v>
      </c>
      <c r="C43" s="232">
        <f>E43+G43</f>
        <v>-25133.668800000218</v>
      </c>
      <c r="D43" s="233"/>
      <c r="E43" s="234">
        <f>E41-E42</f>
        <v>-79166.288800000213</v>
      </c>
      <c r="F43" s="235"/>
      <c r="G43" s="234">
        <f>G41-G42</f>
        <v>54032.619999999995</v>
      </c>
      <c r="H43" s="236"/>
      <c r="I43" s="175"/>
      <c r="J43" s="159"/>
      <c r="K43" s="36"/>
      <c r="L43" s="36"/>
    </row>
    <row r="44" spans="2:14" ht="15" customHeight="1">
      <c r="B44" s="82"/>
      <c r="C44" s="157"/>
      <c r="D44" s="157"/>
      <c r="E44" s="159"/>
      <c r="F44" s="159"/>
      <c r="G44" s="159"/>
      <c r="H44" s="159"/>
      <c r="I44" s="55"/>
      <c r="J44" s="3"/>
      <c r="K44" s="3"/>
      <c r="L44" s="3"/>
      <c r="M44" s="304"/>
      <c r="N44" s="304"/>
    </row>
    <row r="45" spans="2:14" ht="14.25" customHeight="1">
      <c r="B45" s="55" t="s">
        <v>78</v>
      </c>
      <c r="C45" s="237" t="s">
        <v>157</v>
      </c>
      <c r="D45" s="237"/>
      <c r="E45" s="237"/>
      <c r="F45" s="252" t="s">
        <v>13</v>
      </c>
      <c r="G45" s="252"/>
      <c r="H45" s="55"/>
      <c r="I45" s="55"/>
      <c r="J45" s="3"/>
      <c r="K45" s="3"/>
      <c r="L45" s="3"/>
      <c r="M45" s="304"/>
      <c r="N45" s="304"/>
    </row>
    <row r="46" spans="2:14" ht="8.25" customHeight="1">
      <c r="B46" s="55"/>
      <c r="C46" s="56"/>
      <c r="D46" s="56"/>
      <c r="E46" s="220"/>
      <c r="F46" s="253"/>
      <c r="G46" s="253"/>
      <c r="H46" s="55"/>
      <c r="I46" s="55"/>
      <c r="J46" s="3"/>
      <c r="K46" s="3"/>
      <c r="L46" s="3"/>
      <c r="M46" s="304"/>
      <c r="N46" s="304"/>
    </row>
    <row r="47" spans="2:14" ht="12.75" customHeight="1">
      <c r="B47" s="55" t="s">
        <v>79</v>
      </c>
      <c r="C47" s="237" t="s">
        <v>157</v>
      </c>
      <c r="D47" s="237"/>
      <c r="E47" s="237"/>
      <c r="F47" s="252" t="s">
        <v>94</v>
      </c>
      <c r="G47" s="252"/>
      <c r="H47" s="55"/>
      <c r="I47" s="55"/>
    </row>
    <row r="48" spans="2:14" ht="8.25" customHeight="1">
      <c r="B48" s="55"/>
      <c r="C48" s="56"/>
      <c r="D48" s="56"/>
      <c r="E48" s="220"/>
      <c r="F48" s="252"/>
      <c r="G48" s="252"/>
      <c r="H48" s="55"/>
      <c r="I48" s="55"/>
    </row>
    <row r="49" spans="2:9" ht="15.75" customHeight="1">
      <c r="B49" s="55" t="s">
        <v>80</v>
      </c>
      <c r="C49" s="237" t="s">
        <v>158</v>
      </c>
      <c r="D49" s="237"/>
      <c r="E49" s="237"/>
      <c r="F49" s="252" t="s">
        <v>96</v>
      </c>
      <c r="G49" s="252"/>
      <c r="H49" s="55"/>
      <c r="I49" s="8"/>
    </row>
    <row r="50" spans="2:9" ht="9" customHeight="1">
      <c r="B50" s="57"/>
      <c r="C50" s="58"/>
      <c r="D50" s="58"/>
      <c r="E50" s="220"/>
      <c r="F50" s="59"/>
      <c r="G50" s="57"/>
      <c r="H50" s="60"/>
      <c r="I50" s="55"/>
    </row>
    <row r="51" spans="2:9" ht="14.25" customHeight="1">
      <c r="B51" s="55" t="s">
        <v>81</v>
      </c>
      <c r="C51" s="237" t="s">
        <v>158</v>
      </c>
      <c r="D51" s="237"/>
      <c r="E51" s="237"/>
      <c r="F51" s="252" t="s">
        <v>96</v>
      </c>
      <c r="G51" s="252"/>
      <c r="H51" s="55"/>
    </row>
    <row r="52" spans="2:9">
      <c r="B52" s="11"/>
      <c r="C52" s="148"/>
      <c r="D52" s="74"/>
      <c r="E52" s="74"/>
      <c r="F52" s="11"/>
      <c r="G52" s="11"/>
    </row>
    <row r="53" spans="2:9">
      <c r="B53" s="11"/>
      <c r="C53" s="148"/>
      <c r="D53" s="74"/>
      <c r="E53" s="74"/>
      <c r="F53" s="11"/>
      <c r="G53" s="11"/>
    </row>
  </sheetData>
  <mergeCells count="57">
    <mergeCell ref="C51:E51"/>
    <mergeCell ref="F51:G51"/>
    <mergeCell ref="C42:D42"/>
    <mergeCell ref="C43:D43"/>
    <mergeCell ref="C45:E45"/>
    <mergeCell ref="C47:E47"/>
    <mergeCell ref="C49:E49"/>
    <mergeCell ref="F46:G46"/>
    <mergeCell ref="G42:H42"/>
    <mergeCell ref="F47:G47"/>
    <mergeCell ref="F48:G48"/>
    <mergeCell ref="F49:G49"/>
    <mergeCell ref="M23:M24"/>
    <mergeCell ref="N23:N24"/>
    <mergeCell ref="C39:D39"/>
    <mergeCell ref="C40:D40"/>
    <mergeCell ref="C41:D41"/>
    <mergeCell ref="F24:G24"/>
    <mergeCell ref="B16:H16"/>
    <mergeCell ref="C17:D17"/>
    <mergeCell ref="E17:F17"/>
    <mergeCell ref="G17:H17"/>
    <mergeCell ref="C18:D18"/>
    <mergeCell ref="E18:F18"/>
    <mergeCell ref="G18:H18"/>
    <mergeCell ref="B3:H3"/>
    <mergeCell ref="B4:H4"/>
    <mergeCell ref="E40:F40"/>
    <mergeCell ref="E39:F39"/>
    <mergeCell ref="H24:H25"/>
    <mergeCell ref="G40:H40"/>
    <mergeCell ref="B38:H38"/>
    <mergeCell ref="C19:D19"/>
    <mergeCell ref="E19:F19"/>
    <mergeCell ref="G19:H19"/>
    <mergeCell ref="C20:D20"/>
    <mergeCell ref="E20:F20"/>
    <mergeCell ref="G20:H20"/>
    <mergeCell ref="C21:D21"/>
    <mergeCell ref="G21:H21"/>
    <mergeCell ref="E21:F21"/>
    <mergeCell ref="B1:H1"/>
    <mergeCell ref="B5:H6"/>
    <mergeCell ref="D8:E8"/>
    <mergeCell ref="F45:G45"/>
    <mergeCell ref="E42:F42"/>
    <mergeCell ref="E41:F41"/>
    <mergeCell ref="G41:H41"/>
    <mergeCell ref="G39:H39"/>
    <mergeCell ref="B23:H23"/>
    <mergeCell ref="B24:B25"/>
    <mergeCell ref="C24:C25"/>
    <mergeCell ref="D24:D25"/>
    <mergeCell ref="G43:H43"/>
    <mergeCell ref="E43:F43"/>
    <mergeCell ref="E24:E25"/>
    <mergeCell ref="B2:H2"/>
  </mergeCells>
  <printOptions horizontalCentered="1"/>
  <pageMargins left="0.23622047244094491" right="0.19685039370078741" top="0.15748031496062992" bottom="0.23622047244094491" header="0.31496062992125984" footer="0.31496062992125984"/>
  <pageSetup paperSize="9" scale="4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N52"/>
  <sheetViews>
    <sheetView topLeftCell="C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6.140625" style="1" customWidth="1"/>
    <col min="3" max="3" width="14.85546875" style="4" customWidth="1"/>
    <col min="4" max="4" width="8.42578125" style="4" customWidth="1"/>
    <col min="5" max="5" width="9.5703125" style="4" customWidth="1"/>
    <col min="6" max="6" width="10.42578125" style="1" customWidth="1"/>
    <col min="7" max="7" width="10.28515625" style="1" customWidth="1"/>
    <col min="8" max="8" width="10.5703125" style="1" customWidth="1"/>
    <col min="9" max="9" width="15.7109375" style="1" customWidth="1"/>
    <col min="10" max="10" width="16.28515625" style="1" customWidth="1"/>
    <col min="11" max="12" width="9.140625" style="1"/>
    <col min="13" max="13" width="18.140625" style="298" customWidth="1"/>
    <col min="14" max="14" width="21.140625" style="298" customWidth="1"/>
    <col min="15" max="16384" width="9.140625" style="1"/>
  </cols>
  <sheetData>
    <row r="1" spans="2:9">
      <c r="B1" s="221" t="s">
        <v>126</v>
      </c>
      <c r="C1" s="221"/>
      <c r="D1" s="221"/>
      <c r="E1" s="221"/>
      <c r="F1" s="221"/>
      <c r="G1" s="221"/>
      <c r="H1" s="221"/>
    </row>
    <row r="2" spans="2:9">
      <c r="B2" s="221" t="s">
        <v>127</v>
      </c>
      <c r="C2" s="221"/>
      <c r="D2" s="221"/>
      <c r="E2" s="221"/>
      <c r="F2" s="221"/>
      <c r="G2" s="221"/>
      <c r="H2" s="221"/>
    </row>
    <row r="3" spans="2:9">
      <c r="B3" s="221" t="s">
        <v>172</v>
      </c>
      <c r="C3" s="221"/>
      <c r="D3" s="221"/>
      <c r="E3" s="221"/>
      <c r="F3" s="221"/>
      <c r="G3" s="221"/>
      <c r="H3" s="221"/>
    </row>
    <row r="4" spans="2:9">
      <c r="B4" s="221" t="s">
        <v>191</v>
      </c>
      <c r="C4" s="221"/>
      <c r="D4" s="221"/>
      <c r="E4" s="221"/>
      <c r="F4" s="221"/>
      <c r="G4" s="221"/>
      <c r="H4" s="221"/>
    </row>
    <row r="5" spans="2:9" ht="19.5" customHeight="1">
      <c r="B5" s="238" t="s">
        <v>184</v>
      </c>
      <c r="C5" s="238"/>
      <c r="D5" s="238"/>
      <c r="E5" s="238"/>
      <c r="F5" s="238"/>
      <c r="G5" s="238"/>
      <c r="H5" s="238"/>
    </row>
    <row r="6" spans="2:9" ht="20.25" customHeight="1">
      <c r="B6" s="238"/>
      <c r="C6" s="238"/>
      <c r="D6" s="238"/>
      <c r="E6" s="238"/>
      <c r="F6" s="238"/>
      <c r="G6" s="238"/>
      <c r="H6" s="238"/>
    </row>
    <row r="7" spans="2:9" ht="8.25" customHeight="1"/>
    <row r="8" spans="2:9">
      <c r="B8" s="176" t="s">
        <v>0</v>
      </c>
      <c r="C8" s="185"/>
      <c r="D8" s="245" t="s">
        <v>55</v>
      </c>
      <c r="E8" s="245"/>
      <c r="F8" s="176"/>
    </row>
    <row r="9" spans="2:9">
      <c r="B9" s="176" t="s">
        <v>1</v>
      </c>
      <c r="C9" s="185"/>
      <c r="D9" s="208">
        <v>1968</v>
      </c>
      <c r="E9" s="208"/>
      <c r="F9" s="176"/>
    </row>
    <row r="10" spans="2:9" hidden="1" outlineLevel="1">
      <c r="B10" s="176" t="s">
        <v>2</v>
      </c>
      <c r="C10" s="185"/>
      <c r="D10" s="208">
        <v>4</v>
      </c>
      <c r="E10" s="208"/>
      <c r="F10" s="176"/>
    </row>
    <row r="11" spans="2:9" hidden="1" outlineLevel="1">
      <c r="B11" s="176" t="s">
        <v>3</v>
      </c>
      <c r="C11" s="185"/>
      <c r="D11" s="208">
        <v>32</v>
      </c>
      <c r="E11" s="208"/>
      <c r="F11" s="176"/>
    </row>
    <row r="12" spans="2:9" ht="30.75" hidden="1" customHeight="1" outlineLevel="1">
      <c r="B12" s="178" t="s">
        <v>4</v>
      </c>
      <c r="C12" s="186"/>
      <c r="D12" s="208" t="s">
        <v>56</v>
      </c>
      <c r="E12" s="208"/>
      <c r="F12" s="176"/>
    </row>
    <row r="13" spans="2:9" collapsed="1">
      <c r="B13" s="176" t="s">
        <v>5</v>
      </c>
      <c r="C13" s="185"/>
      <c r="D13" s="208" t="s">
        <v>133</v>
      </c>
      <c r="E13" s="208"/>
      <c r="F13" s="176"/>
      <c r="I13" s="7"/>
    </row>
    <row r="14" spans="2:9" hidden="1" outlineLevel="1">
      <c r="B14" s="1" t="s">
        <v>6</v>
      </c>
      <c r="D14" s="169" t="s">
        <v>7</v>
      </c>
      <c r="E14" s="169"/>
    </row>
    <row r="15" spans="2:9" ht="30.75" hidden="1" customHeight="1" outlineLevel="1">
      <c r="B15" s="18" t="s">
        <v>8</v>
      </c>
      <c r="C15" s="77"/>
      <c r="D15" s="209" t="s">
        <v>57</v>
      </c>
      <c r="E15" s="169"/>
      <c r="I15" s="7"/>
    </row>
    <row r="16" spans="2:9" ht="16.5" collapsed="1" thickBot="1">
      <c r="B16" s="250" t="s">
        <v>182</v>
      </c>
      <c r="C16" s="250"/>
      <c r="D16" s="250"/>
      <c r="E16" s="250"/>
      <c r="F16" s="250"/>
      <c r="G16" s="250"/>
      <c r="H16" s="250"/>
      <c r="I16" s="7"/>
    </row>
    <row r="17" spans="2:14" ht="4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7"/>
    </row>
    <row r="18" spans="2:14">
      <c r="B18" s="163" t="s">
        <v>11</v>
      </c>
      <c r="C18" s="222">
        <v>1604122.38</v>
      </c>
      <c r="D18" s="223"/>
      <c r="E18" s="228">
        <v>1120875.99</v>
      </c>
      <c r="F18" s="260"/>
      <c r="G18" s="228">
        <v>483246.39</v>
      </c>
      <c r="H18" s="229"/>
      <c r="I18" s="7"/>
    </row>
    <row r="19" spans="2:14">
      <c r="B19" s="164" t="s">
        <v>12</v>
      </c>
      <c r="C19" s="224">
        <v>1502524.09</v>
      </c>
      <c r="D19" s="225"/>
      <c r="E19" s="224">
        <v>1049679.1200000001</v>
      </c>
      <c r="F19" s="261"/>
      <c r="G19" s="224">
        <v>452844.97000000003</v>
      </c>
      <c r="H19" s="262"/>
      <c r="I19" s="7"/>
    </row>
    <row r="20" spans="2:14" ht="16.5" thickBot="1">
      <c r="B20" s="165" t="s">
        <v>89</v>
      </c>
      <c r="C20" s="226">
        <v>1700609.0754999998</v>
      </c>
      <c r="D20" s="227"/>
      <c r="E20" s="254">
        <v>1161267.0754999998</v>
      </c>
      <c r="F20" s="256"/>
      <c r="G20" s="254">
        <v>539342</v>
      </c>
      <c r="H20" s="255"/>
      <c r="I20" s="7"/>
    </row>
    <row r="21" spans="2:14" ht="27" customHeight="1" thickBot="1">
      <c r="B21" s="166" t="s">
        <v>153</v>
      </c>
      <c r="C21" s="232">
        <f>E21+G21</f>
        <v>-198084.98549999966</v>
      </c>
      <c r="D21" s="233"/>
      <c r="E21" s="234">
        <f>E19-E20</f>
        <v>-111587.95549999969</v>
      </c>
      <c r="F21" s="235"/>
      <c r="G21" s="234">
        <f>G19-G20</f>
        <v>-86497.02999999997</v>
      </c>
      <c r="H21" s="236"/>
      <c r="I21" s="7"/>
    </row>
    <row r="22" spans="2:14">
      <c r="B22" s="18"/>
      <c r="C22" s="77"/>
      <c r="D22" s="209"/>
      <c r="E22" s="169"/>
      <c r="I22" s="7"/>
    </row>
    <row r="23" spans="2:14" ht="31.5" customHeight="1" thickBot="1">
      <c r="B23" s="247" t="s">
        <v>185</v>
      </c>
      <c r="C23" s="247"/>
      <c r="D23" s="247"/>
      <c r="E23" s="247"/>
      <c r="F23" s="247"/>
      <c r="G23" s="247"/>
      <c r="H23" s="247"/>
      <c r="L23" s="7"/>
      <c r="M23" s="299" t="s">
        <v>155</v>
      </c>
      <c r="N23" s="299" t="s">
        <v>156</v>
      </c>
    </row>
    <row r="24" spans="2:14" ht="33.7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L24" s="7"/>
      <c r="M24" s="300"/>
      <c r="N24" s="300"/>
    </row>
    <row r="25" spans="2:14" ht="44.2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M25" s="301">
        <v>176560.11</v>
      </c>
      <c r="N25" s="301">
        <f>176560.11*1.01</f>
        <v>178325.71109999999</v>
      </c>
    </row>
    <row r="26" spans="2:14" ht="43.5" customHeight="1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18942.683866396754</v>
      </c>
      <c r="G26" s="27">
        <f>$N$25/$N$26*E26</f>
        <v>19132.110705060724</v>
      </c>
      <c r="H26" s="28">
        <f>F26-G26</f>
        <v>-189.42683866397056</v>
      </c>
      <c r="I26" s="29"/>
      <c r="J26" s="207"/>
      <c r="K26" s="207"/>
      <c r="L26" s="30"/>
      <c r="M26" s="303">
        <f>E36-E34</f>
        <v>9.8800000000000026</v>
      </c>
      <c r="N26" s="303">
        <f>E36-E34</f>
        <v>9.8800000000000026</v>
      </c>
    </row>
    <row r="27" spans="2:14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5" si="0">$M$25/$M$26*E27</f>
        <v>21265.843208502014</v>
      </c>
      <c r="G27" s="27">
        <f t="shared" ref="G27:G28" si="1">$N$25/$N$26*E27</f>
        <v>21478.501640587037</v>
      </c>
      <c r="H27" s="28">
        <f t="shared" ref="H27:H33" si="2">F27-G27</f>
        <v>-212.65843208502338</v>
      </c>
      <c r="I27" s="34"/>
      <c r="J27" s="3"/>
      <c r="K27" s="3"/>
      <c r="L27" s="3"/>
      <c r="M27" s="304"/>
      <c r="N27" s="304"/>
    </row>
    <row r="28" spans="2:14" ht="36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5718.546072874492</v>
      </c>
      <c r="G28" s="27">
        <f t="shared" si="1"/>
        <v>5775.7315336032379</v>
      </c>
      <c r="H28" s="28">
        <f t="shared" si="2"/>
        <v>-57.185460728745966</v>
      </c>
      <c r="I28" s="36"/>
      <c r="L28" s="7"/>
    </row>
    <row r="29" spans="2:14" ht="25.5">
      <c r="B29" s="35" t="s">
        <v>85</v>
      </c>
      <c r="C29" s="37" t="s">
        <v>101</v>
      </c>
      <c r="D29" s="24" t="s">
        <v>100</v>
      </c>
      <c r="E29" s="32">
        <v>0.22</v>
      </c>
      <c r="F29" s="26">
        <f t="shared" si="0"/>
        <v>3931.5004251012133</v>
      </c>
      <c r="G29" s="27">
        <f t="shared" ref="G29:G32" si="3">$N$25/$N$26*E29</f>
        <v>3970.8154293522257</v>
      </c>
      <c r="H29" s="28">
        <f t="shared" si="2"/>
        <v>-39.315004251012397</v>
      </c>
      <c r="I29" s="36"/>
      <c r="L29" s="7"/>
    </row>
    <row r="30" spans="2:14">
      <c r="B30" s="35" t="s">
        <v>181</v>
      </c>
      <c r="C30" s="189" t="s">
        <v>180</v>
      </c>
      <c r="D30" s="24" t="s">
        <v>100</v>
      </c>
      <c r="E30" s="32"/>
      <c r="F30" s="26"/>
      <c r="G30" s="27"/>
      <c r="H30" s="28">
        <f t="shared" si="2"/>
        <v>0</v>
      </c>
      <c r="I30" s="36"/>
      <c r="L30" s="7"/>
    </row>
    <row r="31" spans="2:14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21087.138643724687</v>
      </c>
      <c r="G31" s="27">
        <f t="shared" si="3"/>
        <v>21298.010030161939</v>
      </c>
      <c r="H31" s="28">
        <f t="shared" si="2"/>
        <v>-210.8713864372512</v>
      </c>
      <c r="I31" s="36"/>
    </row>
    <row r="32" spans="2:14" ht="219" customHeight="1">
      <c r="B32" s="31" t="s">
        <v>128</v>
      </c>
      <c r="C32" s="23" t="s">
        <v>102</v>
      </c>
      <c r="D32" s="24" t="s">
        <v>100</v>
      </c>
      <c r="E32" s="32">
        <v>5.53</v>
      </c>
      <c r="F32" s="26">
        <f t="shared" si="0"/>
        <v>98823.624321862313</v>
      </c>
      <c r="G32" s="27">
        <f t="shared" si="3"/>
        <v>99811.860565080948</v>
      </c>
      <c r="H32" s="28">
        <f t="shared" si="2"/>
        <v>-988.23624321863463</v>
      </c>
      <c r="I32" s="34"/>
      <c r="J32" s="3"/>
      <c r="K32" s="3"/>
      <c r="L32" s="6"/>
      <c r="M32" s="304"/>
      <c r="N32" s="304"/>
    </row>
    <row r="33" spans="2:14" ht="108.75" customHeight="1">
      <c r="B33" s="31" t="s">
        <v>104</v>
      </c>
      <c r="C33" s="23" t="s">
        <v>99</v>
      </c>
      <c r="D33" s="24" t="s">
        <v>100</v>
      </c>
      <c r="E33" s="32">
        <v>0.24</v>
      </c>
      <c r="F33" s="26">
        <f t="shared" si="0"/>
        <v>4288.9095546558683</v>
      </c>
      <c r="G33" s="27">
        <f t="shared" ref="G33" si="4">$N$25/$N$26*E33</f>
        <v>4331.7986502024278</v>
      </c>
      <c r="H33" s="28">
        <f t="shared" si="2"/>
        <v>-42.889095546559474</v>
      </c>
      <c r="I33" s="36"/>
    </row>
    <row r="34" spans="2:14" ht="27" customHeight="1">
      <c r="B34" s="35" t="s">
        <v>92</v>
      </c>
      <c r="C34" s="23" t="s">
        <v>99</v>
      </c>
      <c r="D34" s="24" t="s">
        <v>100</v>
      </c>
      <c r="E34" s="32">
        <v>4.97</v>
      </c>
      <c r="F34" s="26">
        <v>88816.17</v>
      </c>
      <c r="G34" s="33">
        <v>34774</v>
      </c>
      <c r="H34" s="28">
        <f>F34-G34</f>
        <v>54042.17</v>
      </c>
      <c r="I34" s="36"/>
      <c r="L34" s="7"/>
    </row>
    <row r="35" spans="2:14" ht="16.5" thickBot="1">
      <c r="B35" s="66" t="s">
        <v>86</v>
      </c>
      <c r="C35" s="39" t="s">
        <v>102</v>
      </c>
      <c r="D35" s="40" t="s">
        <v>100</v>
      </c>
      <c r="E35" s="41">
        <v>0.14000000000000001</v>
      </c>
      <c r="F35" s="26">
        <f t="shared" si="0"/>
        <v>2501.8639068825905</v>
      </c>
      <c r="G35" s="27">
        <f t="shared" ref="G35" si="5">$N$25/$N$26*E35</f>
        <v>2526.8825459514164</v>
      </c>
      <c r="H35" s="28">
        <f>F35-G35</f>
        <v>-25.018639068825905</v>
      </c>
      <c r="I35" s="36"/>
    </row>
    <row r="36" spans="2:14" ht="16.5" thickBot="1">
      <c r="B36" s="42" t="s">
        <v>90</v>
      </c>
      <c r="C36" s="43"/>
      <c r="D36" s="43"/>
      <c r="E36" s="44">
        <f>SUM(E26:E35)</f>
        <v>14.850000000000001</v>
      </c>
      <c r="F36" s="45">
        <f>SUM(F26:F35)</f>
        <v>265376.27999999991</v>
      </c>
      <c r="G36" s="46">
        <f>SUM(G26:G35)</f>
        <v>213099.71109999996</v>
      </c>
      <c r="H36" s="47">
        <f>SUM(H26:H35)</f>
        <v>52276.568899999977</v>
      </c>
      <c r="I36" s="69"/>
    </row>
    <row r="37" spans="2:14">
      <c r="B37" s="7"/>
      <c r="C37" s="7"/>
      <c r="D37" s="7"/>
      <c r="E37" s="17"/>
      <c r="F37" s="17"/>
      <c r="G37" s="17"/>
      <c r="H37" s="4"/>
    </row>
    <row r="38" spans="2:14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48"/>
      <c r="J38" s="48"/>
    </row>
    <row r="39" spans="2:14" ht="53.25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82"/>
      <c r="J39" s="171"/>
      <c r="K39" s="49"/>
      <c r="L39" s="50"/>
      <c r="M39" s="305"/>
      <c r="N39" s="305"/>
    </row>
    <row r="40" spans="2:14">
      <c r="B40" s="163" t="s">
        <v>11</v>
      </c>
      <c r="C40" s="228">
        <f>E40+G40</f>
        <v>1869498.66</v>
      </c>
      <c r="D40" s="260"/>
      <c r="E40" s="228">
        <f>F26+F27+F28+F29+F31+F32+F33+F35+E18</f>
        <v>1297436.0999999999</v>
      </c>
      <c r="F40" s="260"/>
      <c r="G40" s="228">
        <f>F34+G18</f>
        <v>572062.56000000006</v>
      </c>
      <c r="H40" s="229"/>
      <c r="I40" s="172"/>
      <c r="J40" s="173"/>
      <c r="K40" s="52"/>
      <c r="L40" s="52"/>
      <c r="M40" s="306"/>
    </row>
    <row r="41" spans="2:14">
      <c r="B41" s="164" t="s">
        <v>12</v>
      </c>
      <c r="C41" s="224">
        <f>E41+G41</f>
        <v>1766592.7700000003</v>
      </c>
      <c r="D41" s="261"/>
      <c r="E41" s="224">
        <f>E19+175690.14</f>
        <v>1225369.2600000002</v>
      </c>
      <c r="F41" s="261"/>
      <c r="G41" s="224">
        <f>G19+88378.54</f>
        <v>541223.51</v>
      </c>
      <c r="H41" s="262"/>
      <c r="I41" s="172"/>
      <c r="J41" s="174"/>
      <c r="K41" s="54"/>
      <c r="L41" s="52"/>
      <c r="M41" s="306"/>
    </row>
    <row r="42" spans="2:14" ht="16.5" thickBot="1">
      <c r="B42" s="165" t="s">
        <v>89</v>
      </c>
      <c r="C42" s="254">
        <f>E42+G42</f>
        <v>1913708.7865999998</v>
      </c>
      <c r="D42" s="256"/>
      <c r="E42" s="254">
        <f>G26+G27+G28+G29+G31+G32+G33+G35+E20+G30</f>
        <v>1339592.7865999998</v>
      </c>
      <c r="F42" s="256"/>
      <c r="G42" s="254">
        <f>G34+G20</f>
        <v>574116</v>
      </c>
      <c r="H42" s="255"/>
      <c r="I42" s="172"/>
      <c r="J42" s="51"/>
      <c r="K42" s="36"/>
      <c r="L42" s="36"/>
    </row>
    <row r="43" spans="2:14" ht="27.75" customHeight="1" thickBot="1">
      <c r="B43" s="166" t="s">
        <v>154</v>
      </c>
      <c r="C43" s="232">
        <f>E43+G43</f>
        <v>-147116.01659999951</v>
      </c>
      <c r="D43" s="233"/>
      <c r="E43" s="234">
        <f>E41-E42</f>
        <v>-114223.52659999952</v>
      </c>
      <c r="F43" s="235"/>
      <c r="G43" s="234">
        <f>G41-G42</f>
        <v>-32892.489999999991</v>
      </c>
      <c r="H43" s="236"/>
      <c r="I43" s="175"/>
      <c r="J43" s="159"/>
      <c r="K43" s="36"/>
      <c r="L43" s="36"/>
    </row>
    <row r="44" spans="2:14" ht="12" customHeight="1">
      <c r="B44" s="82"/>
      <c r="C44" s="157"/>
      <c r="D44" s="157"/>
      <c r="E44" s="159"/>
      <c r="F44" s="159"/>
      <c r="G44" s="159"/>
      <c r="H44" s="159"/>
      <c r="I44" s="183"/>
      <c r="J44" s="34"/>
      <c r="K44" s="3"/>
      <c r="L44" s="3"/>
      <c r="M44" s="304"/>
      <c r="N44" s="304"/>
    </row>
    <row r="45" spans="2:14" ht="15.75" customHeight="1">
      <c r="B45" s="55" t="s">
        <v>78</v>
      </c>
      <c r="C45" s="237" t="s">
        <v>157</v>
      </c>
      <c r="D45" s="237"/>
      <c r="E45" s="237"/>
      <c r="F45" s="252" t="s">
        <v>13</v>
      </c>
      <c r="G45" s="252"/>
      <c r="H45" s="55"/>
      <c r="I45" s="183"/>
      <c r="J45" s="34"/>
      <c r="K45" s="3"/>
      <c r="L45" s="3"/>
      <c r="M45" s="304"/>
      <c r="N45" s="304"/>
    </row>
    <row r="46" spans="2:14" ht="8.25" customHeight="1">
      <c r="B46" s="55"/>
      <c r="C46" s="56"/>
      <c r="D46" s="56"/>
      <c r="E46" s="220"/>
      <c r="F46" s="253"/>
      <c r="G46" s="253"/>
      <c r="H46" s="55"/>
      <c r="I46" s="55"/>
      <c r="J46" s="3"/>
      <c r="K46" s="3"/>
      <c r="L46" s="3"/>
      <c r="M46" s="304"/>
      <c r="N46" s="304"/>
    </row>
    <row r="47" spans="2:14" ht="15.75" customHeight="1">
      <c r="B47" s="55" t="s">
        <v>79</v>
      </c>
      <c r="C47" s="237" t="s">
        <v>157</v>
      </c>
      <c r="D47" s="237"/>
      <c r="E47" s="237"/>
      <c r="F47" s="252" t="s">
        <v>94</v>
      </c>
      <c r="G47" s="252"/>
      <c r="H47" s="55"/>
      <c r="I47" s="55"/>
    </row>
    <row r="48" spans="2:14" ht="8.25" customHeight="1">
      <c r="B48" s="55"/>
      <c r="C48" s="56"/>
      <c r="D48" s="56"/>
      <c r="E48" s="220"/>
      <c r="F48" s="252"/>
      <c r="G48" s="252"/>
      <c r="H48" s="55"/>
      <c r="I48" s="55"/>
    </row>
    <row r="49" spans="2:9" ht="18" customHeight="1">
      <c r="B49" s="55" t="s">
        <v>80</v>
      </c>
      <c r="C49" s="237" t="s">
        <v>158</v>
      </c>
      <c r="D49" s="237"/>
      <c r="E49" s="237"/>
      <c r="F49" s="252" t="s">
        <v>96</v>
      </c>
      <c r="G49" s="252"/>
      <c r="H49" s="55"/>
      <c r="I49" s="8"/>
    </row>
    <row r="50" spans="2:9" ht="10.5" customHeight="1">
      <c r="B50" s="57"/>
      <c r="C50" s="58"/>
      <c r="D50" s="58"/>
      <c r="E50" s="220"/>
      <c r="F50" s="59"/>
      <c r="G50" s="57"/>
      <c r="H50" s="60"/>
      <c r="I50" s="55"/>
    </row>
    <row r="51" spans="2:9" ht="14.25" customHeight="1">
      <c r="B51" s="55" t="s">
        <v>81</v>
      </c>
      <c r="C51" s="237" t="s">
        <v>158</v>
      </c>
      <c r="D51" s="237"/>
      <c r="E51" s="237"/>
      <c r="F51" s="252" t="s">
        <v>96</v>
      </c>
      <c r="G51" s="252"/>
      <c r="H51" s="55"/>
    </row>
    <row r="52" spans="2:9">
      <c r="E52" s="210"/>
    </row>
  </sheetData>
  <mergeCells count="57">
    <mergeCell ref="C51:E51"/>
    <mergeCell ref="F51:G51"/>
    <mergeCell ref="C43:D43"/>
    <mergeCell ref="C45:E45"/>
    <mergeCell ref="C47:E47"/>
    <mergeCell ref="C49:E49"/>
    <mergeCell ref="F49:G49"/>
    <mergeCell ref="F47:G47"/>
    <mergeCell ref="F48:G48"/>
    <mergeCell ref="E43:F43"/>
    <mergeCell ref="F46:G46"/>
    <mergeCell ref="G43:H43"/>
    <mergeCell ref="C21:D21"/>
    <mergeCell ref="E21:F21"/>
    <mergeCell ref="G21:H21"/>
    <mergeCell ref="M23:M24"/>
    <mergeCell ref="N23:N24"/>
    <mergeCell ref="C19:D19"/>
    <mergeCell ref="E19:F19"/>
    <mergeCell ref="G19:H19"/>
    <mergeCell ref="C20:D20"/>
    <mergeCell ref="E20:F20"/>
    <mergeCell ref="G20:H20"/>
    <mergeCell ref="B16:H16"/>
    <mergeCell ref="C17:D17"/>
    <mergeCell ref="E17:F17"/>
    <mergeCell ref="G17:H17"/>
    <mergeCell ref="C18:D18"/>
    <mergeCell ref="E18:F18"/>
    <mergeCell ref="G18:H18"/>
    <mergeCell ref="G40:H40"/>
    <mergeCell ref="E41:F41"/>
    <mergeCell ref="E42:F42"/>
    <mergeCell ref="F45:G45"/>
    <mergeCell ref="G41:H41"/>
    <mergeCell ref="G42:H42"/>
    <mergeCell ref="C39:D39"/>
    <mergeCell ref="C40:D40"/>
    <mergeCell ref="C41:D41"/>
    <mergeCell ref="E40:F40"/>
    <mergeCell ref="E39:F39"/>
    <mergeCell ref="C42:D42"/>
    <mergeCell ref="B1:H1"/>
    <mergeCell ref="B5:H6"/>
    <mergeCell ref="D8:E8"/>
    <mergeCell ref="B23:H23"/>
    <mergeCell ref="B24:B25"/>
    <mergeCell ref="C24:C25"/>
    <mergeCell ref="D24:D25"/>
    <mergeCell ref="E24:E25"/>
    <mergeCell ref="F24:G24"/>
    <mergeCell ref="B2:H2"/>
    <mergeCell ref="B3:H3"/>
    <mergeCell ref="B4:H4"/>
    <mergeCell ref="H24:H25"/>
    <mergeCell ref="B38:H38"/>
    <mergeCell ref="G39:H39"/>
  </mergeCells>
  <printOptions horizontalCentered="1"/>
  <pageMargins left="0.19685039370078741" right="0.19685039370078741" top="0.15748031496062992" bottom="0.24" header="0.16" footer="0.24"/>
  <pageSetup paperSize="9" scale="4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1"/>
  <sheetViews>
    <sheetView topLeftCell="D3" zoomScale="110" zoomScaleNormal="110" workbookViewId="0">
      <selection activeCell="M3" sqref="M1:N1048576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6.7109375" style="17" customWidth="1"/>
    <col min="4" max="4" width="8.85546875" style="4" customWidth="1"/>
    <col min="5" max="5" width="9.5703125" style="4" customWidth="1"/>
    <col min="6" max="6" width="10.140625" style="1" customWidth="1"/>
    <col min="7" max="7" width="10.42578125" style="1" customWidth="1"/>
    <col min="8" max="8" width="11" style="1" customWidth="1"/>
    <col min="9" max="9" width="15.85546875" style="1" customWidth="1"/>
    <col min="10" max="10" width="15.5703125" style="1" customWidth="1"/>
    <col min="11" max="11" width="9.140625" style="1"/>
    <col min="12" max="12" width="11.28515625" style="1" customWidth="1"/>
    <col min="13" max="13" width="17.140625" style="298" customWidth="1"/>
    <col min="14" max="14" width="16.140625" style="298" customWidth="1"/>
    <col min="15" max="16384" width="9.140625" style="1"/>
  </cols>
  <sheetData>
    <row r="1" spans="1:9">
      <c r="B1" s="221" t="s">
        <v>126</v>
      </c>
      <c r="C1" s="221"/>
      <c r="D1" s="221"/>
      <c r="E1" s="221"/>
      <c r="F1" s="221"/>
      <c r="G1" s="221"/>
      <c r="H1" s="221"/>
    </row>
    <row r="2" spans="1:9">
      <c r="B2" s="221" t="s">
        <v>127</v>
      </c>
      <c r="C2" s="221"/>
      <c r="D2" s="221"/>
      <c r="E2" s="221"/>
      <c r="F2" s="221"/>
      <c r="G2" s="221"/>
      <c r="H2" s="221"/>
    </row>
    <row r="3" spans="1:9">
      <c r="B3" s="221" t="s">
        <v>173</v>
      </c>
      <c r="C3" s="221"/>
      <c r="D3" s="221"/>
      <c r="E3" s="221"/>
      <c r="F3" s="221"/>
      <c r="G3" s="221"/>
      <c r="H3" s="221"/>
    </row>
    <row r="4" spans="1:9" ht="15" customHeight="1">
      <c r="B4" s="221" t="s">
        <v>191</v>
      </c>
      <c r="C4" s="221"/>
      <c r="D4" s="221"/>
      <c r="E4" s="221"/>
      <c r="F4" s="221"/>
      <c r="G4" s="221"/>
      <c r="H4" s="221"/>
    </row>
    <row r="5" spans="1:9" ht="19.5" customHeight="1">
      <c r="A5" s="149"/>
      <c r="B5" s="238" t="s">
        <v>184</v>
      </c>
      <c r="C5" s="238"/>
      <c r="D5" s="238"/>
      <c r="E5" s="238"/>
      <c r="F5" s="238"/>
      <c r="G5" s="238"/>
      <c r="H5" s="238"/>
    </row>
    <row r="6" spans="1:9" ht="20.25" customHeight="1">
      <c r="A6" s="149"/>
      <c r="B6" s="238"/>
      <c r="C6" s="238"/>
      <c r="D6" s="238"/>
      <c r="E6" s="238"/>
      <c r="F6" s="238"/>
      <c r="G6" s="238"/>
      <c r="H6" s="238"/>
    </row>
    <row r="7" spans="1:9" ht="8.25" customHeight="1"/>
    <row r="8" spans="1:9">
      <c r="B8" s="176" t="s">
        <v>0</v>
      </c>
      <c r="C8" s="177"/>
      <c r="D8" s="245" t="s">
        <v>58</v>
      </c>
      <c r="E8" s="245"/>
    </row>
    <row r="9" spans="1:9">
      <c r="B9" s="176" t="s">
        <v>1</v>
      </c>
      <c r="C9" s="177"/>
      <c r="D9" s="208">
        <v>1968</v>
      </c>
      <c r="E9" s="208"/>
    </row>
    <row r="10" spans="1:9" hidden="1" outlineLevel="1">
      <c r="B10" s="176" t="s">
        <v>2</v>
      </c>
      <c r="C10" s="177"/>
      <c r="D10" s="208">
        <v>4</v>
      </c>
      <c r="E10" s="208"/>
    </row>
    <row r="11" spans="1:9" hidden="1" outlineLevel="1">
      <c r="B11" s="176" t="s">
        <v>3</v>
      </c>
      <c r="C11" s="177"/>
      <c r="D11" s="208">
        <v>32</v>
      </c>
      <c r="E11" s="208"/>
    </row>
    <row r="12" spans="1:9" ht="30.75" hidden="1" customHeight="1" outlineLevel="1">
      <c r="B12" s="178" t="s">
        <v>4</v>
      </c>
      <c r="C12" s="179"/>
      <c r="D12" s="208" t="s">
        <v>59</v>
      </c>
      <c r="E12" s="208"/>
    </row>
    <row r="13" spans="1:9" collapsed="1">
      <c r="B13" s="176" t="s">
        <v>5</v>
      </c>
      <c r="C13" s="177"/>
      <c r="D13" s="208" t="s">
        <v>117</v>
      </c>
      <c r="E13" s="208"/>
      <c r="I13" s="7"/>
    </row>
    <row r="14" spans="1:9">
      <c r="B14" s="176" t="s">
        <v>6</v>
      </c>
      <c r="C14" s="177"/>
      <c r="D14" s="208" t="s">
        <v>60</v>
      </c>
      <c r="E14" s="208"/>
    </row>
    <row r="15" spans="1:9" ht="30.75" hidden="1" customHeight="1" outlineLevel="1">
      <c r="B15" s="18" t="s">
        <v>8</v>
      </c>
      <c r="C15" s="19"/>
      <c r="D15" s="209" t="s">
        <v>61</v>
      </c>
      <c r="E15" s="169"/>
      <c r="I15" s="7"/>
    </row>
    <row r="16" spans="1:9" ht="16.5" collapsed="1" thickBot="1">
      <c r="B16" s="250" t="s">
        <v>182</v>
      </c>
      <c r="C16" s="250"/>
      <c r="D16" s="250"/>
      <c r="E16" s="250"/>
      <c r="F16" s="250"/>
      <c r="G16" s="250"/>
      <c r="H16" s="250"/>
      <c r="I16" s="7"/>
    </row>
    <row r="17" spans="2:14" ht="4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7"/>
    </row>
    <row r="18" spans="2:14">
      <c r="B18" s="163" t="s">
        <v>11</v>
      </c>
      <c r="C18" s="222">
        <v>1213235.3204078164</v>
      </c>
      <c r="D18" s="223"/>
      <c r="E18" s="228">
        <v>1032829.8102124044</v>
      </c>
      <c r="F18" s="260"/>
      <c r="G18" s="228">
        <v>180405.51019541203</v>
      </c>
      <c r="H18" s="229"/>
      <c r="I18" s="7"/>
    </row>
    <row r="19" spans="2:14">
      <c r="B19" s="164" t="s">
        <v>12</v>
      </c>
      <c r="C19" s="224">
        <v>1095117.8529396772</v>
      </c>
      <c r="D19" s="225"/>
      <c r="E19" s="224">
        <v>930918.59784197109</v>
      </c>
      <c r="F19" s="261"/>
      <c r="G19" s="224">
        <v>164199.25509770605</v>
      </c>
      <c r="H19" s="262"/>
      <c r="I19" s="7"/>
    </row>
    <row r="20" spans="2:14" ht="16.5" thickBot="1">
      <c r="B20" s="165" t="s">
        <v>89</v>
      </c>
      <c r="C20" s="226">
        <v>1308715.0389999999</v>
      </c>
      <c r="D20" s="227"/>
      <c r="E20" s="254">
        <v>1031000.0389999999</v>
      </c>
      <c r="F20" s="256"/>
      <c r="G20" s="254">
        <v>277715</v>
      </c>
      <c r="H20" s="255"/>
      <c r="I20" s="7"/>
    </row>
    <row r="21" spans="2:14" ht="30.75" customHeight="1" thickBot="1">
      <c r="B21" s="166" t="s">
        <v>153</v>
      </c>
      <c r="C21" s="232">
        <f>E21+G21</f>
        <v>-213597.18606032274</v>
      </c>
      <c r="D21" s="233"/>
      <c r="E21" s="234">
        <f>E19-E20</f>
        <v>-100081.44115802879</v>
      </c>
      <c r="F21" s="235"/>
      <c r="G21" s="234">
        <f>G19-G20</f>
        <v>-113515.74490229395</v>
      </c>
      <c r="H21" s="236"/>
      <c r="I21" s="7"/>
    </row>
    <row r="22" spans="2:14">
      <c r="B22" s="18"/>
      <c r="C22" s="19"/>
      <c r="D22" s="209"/>
      <c r="E22" s="169"/>
      <c r="I22" s="7"/>
    </row>
    <row r="23" spans="2:14" ht="33.75" customHeight="1" thickBot="1">
      <c r="B23" s="247" t="s">
        <v>185</v>
      </c>
      <c r="C23" s="247"/>
      <c r="D23" s="247"/>
      <c r="E23" s="247"/>
      <c r="F23" s="247"/>
      <c r="G23" s="247"/>
      <c r="H23" s="247"/>
      <c r="L23" s="7"/>
      <c r="M23" s="299" t="s">
        <v>155</v>
      </c>
      <c r="N23" s="299" t="s">
        <v>156</v>
      </c>
    </row>
    <row r="24" spans="2:14" ht="33.7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L24" s="7"/>
      <c r="M24" s="300"/>
      <c r="N24" s="300"/>
    </row>
    <row r="25" spans="2:14" ht="37.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M25" s="303">
        <v>158238.94</v>
      </c>
      <c r="N25" s="301">
        <f>158238.94*1.01</f>
        <v>159821.32940000002</v>
      </c>
    </row>
    <row r="26" spans="2:14" ht="43.5" customHeight="1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17901.096734258274</v>
      </c>
      <c r="G26" s="27">
        <f>$N$25/$N$26*E26</f>
        <v>18080.107701600857</v>
      </c>
      <c r="H26" s="28">
        <f>F26-G26</f>
        <v>-179.01096734258317</v>
      </c>
      <c r="I26" s="29"/>
      <c r="J26" s="207"/>
      <c r="K26" s="207"/>
      <c r="L26" s="30"/>
      <c r="M26" s="303">
        <f>E36-E33</f>
        <v>9.3699999999999992</v>
      </c>
      <c r="N26" s="303">
        <f>E36-E33</f>
        <v>9.3699999999999992</v>
      </c>
    </row>
    <row r="27" spans="2:14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4" si="0">$M$25/$M$26*E27</f>
        <v>20096.51425827108</v>
      </c>
      <c r="G27" s="27">
        <f t="shared" ref="G27:G31" si="1">$N$25/$N$26*E27</f>
        <v>20297.479400853794</v>
      </c>
      <c r="H27" s="28">
        <f t="shared" ref="H27:H32" si="2">F27-G27</f>
        <v>-200.96514258271418</v>
      </c>
      <c r="I27" s="34"/>
      <c r="J27" s="3"/>
      <c r="K27" s="3"/>
      <c r="L27" s="8" t="s">
        <v>140</v>
      </c>
      <c r="M27" s="306">
        <f>M28/11.77*M26</f>
        <v>0</v>
      </c>
      <c r="N27" s="306">
        <f>N28/11.77*N26</f>
        <v>0</v>
      </c>
    </row>
    <row r="28" spans="2:14" ht="31.5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5404.1046744930636</v>
      </c>
      <c r="G28" s="27">
        <f t="shared" si="1"/>
        <v>5458.1457212379946</v>
      </c>
      <c r="H28" s="28">
        <f t="shared" si="2"/>
        <v>-54.041046744931009</v>
      </c>
      <c r="I28" s="36"/>
      <c r="L28" s="8" t="s">
        <v>138</v>
      </c>
      <c r="M28" s="307"/>
      <c r="N28" s="307"/>
    </row>
    <row r="29" spans="2:14" ht="25.5">
      <c r="B29" s="35" t="s">
        <v>85</v>
      </c>
      <c r="C29" s="37" t="s">
        <v>101</v>
      </c>
      <c r="D29" s="24" t="s">
        <v>100</v>
      </c>
      <c r="E29" s="32">
        <v>0.17</v>
      </c>
      <c r="F29" s="26">
        <f t="shared" si="0"/>
        <v>2870.9306083244405</v>
      </c>
      <c r="G29" s="27">
        <f t="shared" si="1"/>
        <v>2899.639914407685</v>
      </c>
      <c r="H29" s="28">
        <f t="shared" si="2"/>
        <v>-28.709306083244428</v>
      </c>
      <c r="I29" s="36"/>
      <c r="L29" s="9" t="s">
        <v>141</v>
      </c>
      <c r="M29" s="306">
        <f>M28/11.77*E33</f>
        <v>0</v>
      </c>
      <c r="N29" s="306">
        <f>N28/11.77*E33</f>
        <v>0</v>
      </c>
    </row>
    <row r="30" spans="2:14" ht="51">
      <c r="B30" s="31" t="s">
        <v>88</v>
      </c>
      <c r="C30" s="23" t="s">
        <v>144</v>
      </c>
      <c r="D30" s="24" t="s">
        <v>100</v>
      </c>
      <c r="E30" s="32">
        <v>1.18</v>
      </c>
      <c r="F30" s="26">
        <f t="shared" si="0"/>
        <v>19927.635987193171</v>
      </c>
      <c r="G30" s="27">
        <f t="shared" si="1"/>
        <v>20126.912347065103</v>
      </c>
      <c r="H30" s="28">
        <f t="shared" si="2"/>
        <v>-199.27635987193207</v>
      </c>
      <c r="I30" s="36"/>
    </row>
    <row r="31" spans="2:14" ht="218.25" customHeight="1">
      <c r="B31" s="31" t="s">
        <v>128</v>
      </c>
      <c r="C31" s="23" t="s">
        <v>102</v>
      </c>
      <c r="D31" s="24" t="s">
        <v>100</v>
      </c>
      <c r="E31" s="32">
        <v>4.42</v>
      </c>
      <c r="F31" s="26">
        <f t="shared" si="0"/>
        <v>74644.195816435444</v>
      </c>
      <c r="G31" s="27">
        <f t="shared" si="1"/>
        <v>75390.637774599803</v>
      </c>
      <c r="H31" s="28">
        <f t="shared" si="2"/>
        <v>-746.44195816435968</v>
      </c>
      <c r="I31" s="34"/>
      <c r="J31" s="3"/>
      <c r="K31" s="3"/>
      <c r="L31" s="6"/>
      <c r="M31" s="304"/>
      <c r="N31" s="304"/>
    </row>
    <row r="32" spans="2:14" ht="116.25" customHeight="1">
      <c r="B32" s="31" t="s">
        <v>104</v>
      </c>
      <c r="C32" s="23" t="s">
        <v>99</v>
      </c>
      <c r="D32" s="24" t="s">
        <v>100</v>
      </c>
      <c r="E32" s="32">
        <v>0.24</v>
      </c>
      <c r="F32" s="26">
        <f t="shared" si="0"/>
        <v>4053.0785058697979</v>
      </c>
      <c r="G32" s="27">
        <f t="shared" ref="G32:G34" si="3">$N$25/$N$26*E32</f>
        <v>4093.6092909284957</v>
      </c>
      <c r="H32" s="28">
        <f t="shared" si="2"/>
        <v>-40.530785058697802</v>
      </c>
      <c r="I32" s="36"/>
    </row>
    <row r="33" spans="2:14" ht="31.5" customHeight="1">
      <c r="B33" s="35" t="s">
        <v>92</v>
      </c>
      <c r="C33" s="23" t="s">
        <v>99</v>
      </c>
      <c r="D33" s="24" t="s">
        <v>100</v>
      </c>
      <c r="E33" s="32">
        <v>2.5</v>
      </c>
      <c r="F33" s="26">
        <v>42219.57</v>
      </c>
      <c r="G33" s="33">
        <v>19610</v>
      </c>
      <c r="H33" s="28">
        <f>F33-G33</f>
        <v>22609.57</v>
      </c>
      <c r="I33" s="36"/>
      <c r="L33" s="7"/>
    </row>
    <row r="34" spans="2:14">
      <c r="B34" s="35" t="s">
        <v>93</v>
      </c>
      <c r="C34" s="37" t="s">
        <v>101</v>
      </c>
      <c r="D34" s="24" t="s">
        <v>100</v>
      </c>
      <c r="E34" s="32">
        <v>0.62</v>
      </c>
      <c r="F34" s="26">
        <f t="shared" si="0"/>
        <v>10470.452806830312</v>
      </c>
      <c r="G34" s="27">
        <f t="shared" si="3"/>
        <v>10575.157334898615</v>
      </c>
      <c r="H34" s="162">
        <f>F34-G34</f>
        <v>-104.70452806830326</v>
      </c>
      <c r="I34" s="36"/>
      <c r="J34" s="68"/>
      <c r="K34" s="68"/>
      <c r="L34" s="7"/>
      <c r="M34" s="305"/>
    </row>
    <row r="35" spans="2:14" ht="16.5" thickBot="1">
      <c r="B35" s="66" t="s">
        <v>86</v>
      </c>
      <c r="C35" s="39" t="s">
        <v>102</v>
      </c>
      <c r="D35" s="40" t="s">
        <v>100</v>
      </c>
      <c r="E35" s="41">
        <v>0.17</v>
      </c>
      <c r="F35" s="26">
        <f t="shared" ref="F35" si="4">$M$25/$M$26*E35</f>
        <v>2870.9306083244405</v>
      </c>
      <c r="G35" s="27">
        <f t="shared" ref="G35" si="5">$N$25/$N$26*E35</f>
        <v>2899.639914407685</v>
      </c>
      <c r="H35" s="161">
        <f>SUM(H26:H34)</f>
        <v>21055.889906083234</v>
      </c>
      <c r="I35" s="36"/>
    </row>
    <row r="36" spans="2:14" ht="16.5" thickBot="1">
      <c r="B36" s="42" t="s">
        <v>90</v>
      </c>
      <c r="C36" s="43"/>
      <c r="D36" s="43"/>
      <c r="E36" s="44">
        <f>SUM(E26:E35)</f>
        <v>11.87</v>
      </c>
      <c r="F36" s="45">
        <f>SUM(F26:F35)</f>
        <v>200458.51000000004</v>
      </c>
      <c r="G36" s="46">
        <f>SUM(G26:G35)</f>
        <v>179431.32940000005</v>
      </c>
      <c r="H36" s="47">
        <f>G36-F36</f>
        <v>-21027.180599999992</v>
      </c>
      <c r="I36" s="69"/>
    </row>
    <row r="37" spans="2:14">
      <c r="B37" s="7"/>
      <c r="C37" s="7"/>
      <c r="D37" s="7"/>
      <c r="E37" s="17"/>
      <c r="F37" s="17"/>
      <c r="G37" s="17"/>
      <c r="H37" s="4"/>
    </row>
    <row r="38" spans="2:14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48"/>
      <c r="J38" s="48"/>
    </row>
    <row r="39" spans="2:14" ht="42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70"/>
      <c r="J39" s="171"/>
      <c r="K39" s="49"/>
      <c r="L39" s="50"/>
      <c r="M39" s="305"/>
      <c r="N39" s="305"/>
    </row>
    <row r="40" spans="2:14">
      <c r="B40" s="163" t="s">
        <v>11</v>
      </c>
      <c r="C40" s="228">
        <f>E40+G40</f>
        <v>1413693.8304078165</v>
      </c>
      <c r="D40" s="260"/>
      <c r="E40" s="228">
        <f>F27+F28+F29+F30+F31+F34+F32+F35+E18+F26</f>
        <v>1191068.7502124044</v>
      </c>
      <c r="F40" s="260"/>
      <c r="G40" s="228">
        <f>F33+G18</f>
        <v>222625.08019541204</v>
      </c>
      <c r="H40" s="229"/>
      <c r="I40" s="172"/>
      <c r="J40" s="173"/>
      <c r="K40" s="52"/>
      <c r="L40" s="52"/>
      <c r="M40" s="306"/>
    </row>
    <row r="41" spans="2:14">
      <c r="B41" s="164" t="s">
        <v>12</v>
      </c>
      <c r="C41" s="224">
        <f>E41+G41</f>
        <v>1280341.0329396771</v>
      </c>
      <c r="D41" s="261"/>
      <c r="E41" s="224">
        <f>E19+N27+146212.4</f>
        <v>1077130.997841971</v>
      </c>
      <c r="F41" s="261"/>
      <c r="G41" s="224">
        <f>G19+N29+39010.78</f>
        <v>203210.03509770604</v>
      </c>
      <c r="H41" s="262"/>
      <c r="I41" s="172"/>
      <c r="J41" s="174"/>
      <c r="K41" s="54"/>
      <c r="L41" s="52"/>
      <c r="M41" s="306"/>
    </row>
    <row r="42" spans="2:14" ht="16.5" thickBot="1">
      <c r="B42" s="165" t="s">
        <v>89</v>
      </c>
      <c r="C42" s="254">
        <f>E42+G42</f>
        <v>1488146.3683999998</v>
      </c>
      <c r="D42" s="256"/>
      <c r="E42" s="254">
        <f>G27+G28+G29+G30+G31+G32+G34+G35+E20+G26</f>
        <v>1190821.3683999998</v>
      </c>
      <c r="F42" s="256"/>
      <c r="G42" s="254">
        <f>G33+G20</f>
        <v>297325</v>
      </c>
      <c r="H42" s="255"/>
      <c r="I42" s="172"/>
      <c r="J42" s="51"/>
      <c r="K42" s="36"/>
      <c r="L42" s="36"/>
    </row>
    <row r="43" spans="2:14" ht="27" customHeight="1" thickBot="1">
      <c r="B43" s="166" t="s">
        <v>154</v>
      </c>
      <c r="C43" s="232">
        <f>E43+G43</f>
        <v>-207805.33546032276</v>
      </c>
      <c r="D43" s="233"/>
      <c r="E43" s="234">
        <f>E41-E42</f>
        <v>-113690.37055802881</v>
      </c>
      <c r="F43" s="235"/>
      <c r="G43" s="234">
        <f>G41-G42</f>
        <v>-94114.964902293956</v>
      </c>
      <c r="H43" s="236"/>
      <c r="I43" s="175"/>
      <c r="J43" s="159"/>
      <c r="K43" s="36"/>
      <c r="L43" s="36"/>
    </row>
    <row r="44" spans="2:14" ht="15" customHeight="1">
      <c r="B44" s="82"/>
      <c r="C44" s="157"/>
      <c r="D44" s="157"/>
      <c r="E44" s="159"/>
      <c r="F44" s="159"/>
      <c r="G44" s="159"/>
      <c r="H44" s="159"/>
      <c r="I44" s="55"/>
      <c r="J44" s="3"/>
      <c r="K44" s="3"/>
      <c r="L44" s="3"/>
      <c r="M44" s="304"/>
      <c r="N44" s="304"/>
    </row>
    <row r="45" spans="2:14" ht="16.5" customHeight="1">
      <c r="B45" s="55" t="s">
        <v>78</v>
      </c>
      <c r="C45" s="237" t="s">
        <v>157</v>
      </c>
      <c r="D45" s="237"/>
      <c r="E45" s="237"/>
      <c r="F45" s="252" t="s">
        <v>13</v>
      </c>
      <c r="G45" s="252"/>
      <c r="H45" s="55"/>
      <c r="I45" s="55"/>
      <c r="J45" s="3"/>
      <c r="K45" s="3"/>
      <c r="L45" s="3"/>
      <c r="M45" s="304"/>
      <c r="N45" s="304"/>
    </row>
    <row r="46" spans="2:14" ht="9.75" customHeight="1">
      <c r="B46" s="55"/>
      <c r="C46" s="56"/>
      <c r="D46" s="56"/>
      <c r="E46" s="220"/>
      <c r="F46" s="253"/>
      <c r="G46" s="253"/>
      <c r="H46" s="55"/>
      <c r="I46" s="55"/>
      <c r="J46" s="3"/>
      <c r="K46" s="3"/>
      <c r="L46" s="3"/>
      <c r="M46" s="304"/>
      <c r="N46" s="304"/>
    </row>
    <row r="47" spans="2:14" ht="15" customHeight="1">
      <c r="B47" s="55" t="s">
        <v>79</v>
      </c>
      <c r="C47" s="237" t="s">
        <v>157</v>
      </c>
      <c r="D47" s="237"/>
      <c r="E47" s="237"/>
      <c r="F47" s="252" t="s">
        <v>94</v>
      </c>
      <c r="G47" s="252"/>
      <c r="H47" s="55"/>
      <c r="I47" s="55"/>
    </row>
    <row r="48" spans="2:14" ht="8.25" customHeight="1">
      <c r="B48" s="55"/>
      <c r="C48" s="56"/>
      <c r="D48" s="56"/>
      <c r="E48" s="220"/>
      <c r="F48" s="252"/>
      <c r="G48" s="252"/>
      <c r="H48" s="55"/>
      <c r="I48" s="55"/>
    </row>
    <row r="49" spans="2:9" ht="15.75" customHeight="1">
      <c r="B49" s="55" t="s">
        <v>80</v>
      </c>
      <c r="C49" s="237" t="s">
        <v>158</v>
      </c>
      <c r="D49" s="237"/>
      <c r="E49" s="237"/>
      <c r="F49" s="252" t="s">
        <v>96</v>
      </c>
      <c r="G49" s="252"/>
      <c r="H49" s="55"/>
      <c r="I49" s="57"/>
    </row>
    <row r="50" spans="2:9" ht="9" customHeight="1">
      <c r="B50" s="57"/>
      <c r="C50" s="58"/>
      <c r="D50" s="58"/>
      <c r="E50" s="220"/>
      <c r="F50" s="59"/>
      <c r="G50" s="57"/>
      <c r="H50" s="60"/>
      <c r="I50" s="11"/>
    </row>
    <row r="51" spans="2:9" ht="17.25" customHeight="1">
      <c r="B51" s="55" t="s">
        <v>81</v>
      </c>
      <c r="C51" s="237" t="s">
        <v>158</v>
      </c>
      <c r="D51" s="237"/>
      <c r="E51" s="237"/>
      <c r="F51" s="252" t="s">
        <v>96</v>
      </c>
      <c r="G51" s="252"/>
      <c r="H51" s="55"/>
      <c r="I51" s="11"/>
    </row>
  </sheetData>
  <mergeCells count="57">
    <mergeCell ref="C41:D41"/>
    <mergeCell ref="C42:D42"/>
    <mergeCell ref="C43:D43"/>
    <mergeCell ref="C45:E45"/>
    <mergeCell ref="C47:E47"/>
    <mergeCell ref="C21:D21"/>
    <mergeCell ref="E21:F21"/>
    <mergeCell ref="G21:H21"/>
    <mergeCell ref="M23:M24"/>
    <mergeCell ref="N23:N24"/>
    <mergeCell ref="E24:E25"/>
    <mergeCell ref="C19:D19"/>
    <mergeCell ref="E19:F19"/>
    <mergeCell ref="G19:H19"/>
    <mergeCell ref="C20:D20"/>
    <mergeCell ref="E20:F20"/>
    <mergeCell ref="G20:H20"/>
    <mergeCell ref="C39:D39"/>
    <mergeCell ref="C40:D40"/>
    <mergeCell ref="G42:H42"/>
    <mergeCell ref="B2:H2"/>
    <mergeCell ref="B3:H3"/>
    <mergeCell ref="B4:H4"/>
    <mergeCell ref="E42:F42"/>
    <mergeCell ref="B5:H6"/>
    <mergeCell ref="E39:F39"/>
    <mergeCell ref="B16:H16"/>
    <mergeCell ref="C17:D17"/>
    <mergeCell ref="E17:F17"/>
    <mergeCell ref="G17:H17"/>
    <mergeCell ref="C18:D18"/>
    <mergeCell ref="E18:F18"/>
    <mergeCell ref="G18:H18"/>
    <mergeCell ref="B1:H1"/>
    <mergeCell ref="E43:F43"/>
    <mergeCell ref="G39:H39"/>
    <mergeCell ref="D8:E8"/>
    <mergeCell ref="B23:H23"/>
    <mergeCell ref="B24:B25"/>
    <mergeCell ref="C24:C25"/>
    <mergeCell ref="E40:F40"/>
    <mergeCell ref="G43:H43"/>
    <mergeCell ref="F24:G24"/>
    <mergeCell ref="E41:F41"/>
    <mergeCell ref="G41:H41"/>
    <mergeCell ref="B38:H38"/>
    <mergeCell ref="H24:H25"/>
    <mergeCell ref="G40:H40"/>
    <mergeCell ref="D24:D25"/>
    <mergeCell ref="F51:G51"/>
    <mergeCell ref="F45:G45"/>
    <mergeCell ref="F48:G48"/>
    <mergeCell ref="C49:E49"/>
    <mergeCell ref="F49:G49"/>
    <mergeCell ref="C51:E51"/>
    <mergeCell ref="F46:G46"/>
    <mergeCell ref="F47:G47"/>
  </mergeCells>
  <printOptions horizontalCentered="1"/>
  <pageMargins left="0.19685039370078741" right="0.19685039370078741" top="0.15748031496062992" bottom="0.23622047244094491" header="0.16" footer="0.25"/>
  <pageSetup paperSize="9" scale="4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O92"/>
  <sheetViews>
    <sheetView topLeftCell="C17" zoomScale="110" zoomScaleNormal="110" workbookViewId="0">
      <selection activeCell="L17" sqref="L1:O1048576"/>
    </sheetView>
  </sheetViews>
  <sheetFormatPr defaultColWidth="9.140625" defaultRowHeight="15.75" outlineLevelRow="1"/>
  <cols>
    <col min="1" max="1" width="2.85546875" style="1" customWidth="1"/>
    <col min="2" max="2" width="56.85546875" style="1" customWidth="1"/>
    <col min="3" max="3" width="14.5703125" style="139" customWidth="1"/>
    <col min="4" max="4" width="10" style="4" customWidth="1"/>
    <col min="5" max="5" width="9.7109375" style="4" customWidth="1"/>
    <col min="6" max="6" width="10.140625" style="1" customWidth="1"/>
    <col min="7" max="7" width="10.28515625" style="1" customWidth="1"/>
    <col min="8" max="8" width="10.7109375" style="1" customWidth="1"/>
    <col min="9" max="9" width="17.5703125" style="1" customWidth="1"/>
    <col min="10" max="10" width="17.28515625" style="1" customWidth="1"/>
    <col min="11" max="11" width="9.140625" style="1"/>
    <col min="12" max="12" width="9.140625" style="298"/>
    <col min="13" max="14" width="18" style="298" customWidth="1"/>
    <col min="15" max="15" width="9.140625" style="298"/>
    <col min="16" max="16384" width="9.140625" style="1"/>
  </cols>
  <sheetData>
    <row r="1" spans="2:9">
      <c r="B1" s="221" t="s">
        <v>126</v>
      </c>
      <c r="C1" s="221"/>
      <c r="D1" s="221"/>
      <c r="E1" s="221"/>
      <c r="F1" s="221"/>
      <c r="G1" s="221"/>
      <c r="H1" s="221"/>
    </row>
    <row r="2" spans="2:9">
      <c r="B2" s="221" t="s">
        <v>127</v>
      </c>
      <c r="C2" s="221"/>
      <c r="D2" s="221"/>
      <c r="E2" s="221"/>
      <c r="F2" s="221"/>
      <c r="G2" s="221"/>
      <c r="H2" s="221"/>
    </row>
    <row r="3" spans="2:9">
      <c r="B3" s="221" t="s">
        <v>174</v>
      </c>
      <c r="C3" s="221"/>
      <c r="D3" s="221"/>
      <c r="E3" s="221"/>
      <c r="F3" s="221"/>
      <c r="G3" s="221"/>
      <c r="H3" s="221"/>
    </row>
    <row r="4" spans="2:9">
      <c r="B4" s="221" t="s">
        <v>191</v>
      </c>
      <c r="C4" s="221"/>
      <c r="D4" s="221"/>
      <c r="E4" s="221"/>
      <c r="F4" s="221"/>
      <c r="G4" s="221"/>
      <c r="H4" s="221"/>
    </row>
    <row r="5" spans="2:9" ht="19.5" customHeight="1">
      <c r="B5" s="238" t="s">
        <v>184</v>
      </c>
      <c r="C5" s="238"/>
      <c r="D5" s="238"/>
      <c r="E5" s="238"/>
      <c r="F5" s="238"/>
      <c r="G5" s="238"/>
      <c r="H5" s="238"/>
    </row>
    <row r="6" spans="2:9" ht="19.5" customHeight="1">
      <c r="B6" s="238"/>
      <c r="C6" s="238"/>
      <c r="D6" s="238"/>
      <c r="E6" s="238"/>
      <c r="F6" s="238"/>
      <c r="G6" s="238"/>
      <c r="H6" s="238"/>
    </row>
    <row r="7" spans="2:9" ht="8.25" customHeight="1"/>
    <row r="8" spans="2:9">
      <c r="B8" s="176" t="s">
        <v>0</v>
      </c>
      <c r="C8" s="187"/>
      <c r="D8" s="245" t="s">
        <v>62</v>
      </c>
      <c r="E8" s="245"/>
    </row>
    <row r="9" spans="2:9">
      <c r="B9" s="176" t="s">
        <v>1</v>
      </c>
      <c r="C9" s="187"/>
      <c r="D9" s="208">
        <v>1970</v>
      </c>
      <c r="E9" s="208"/>
    </row>
    <row r="10" spans="2:9" hidden="1" outlineLevel="1">
      <c r="B10" s="176" t="s">
        <v>2</v>
      </c>
      <c r="C10" s="187"/>
      <c r="D10" s="208">
        <v>4</v>
      </c>
      <c r="E10" s="208"/>
    </row>
    <row r="11" spans="2:9" hidden="1" outlineLevel="1">
      <c r="B11" s="176" t="s">
        <v>3</v>
      </c>
      <c r="C11" s="187"/>
      <c r="D11" s="208">
        <v>31</v>
      </c>
      <c r="E11" s="208"/>
    </row>
    <row r="12" spans="2:9" ht="30.75" hidden="1" customHeight="1" outlineLevel="1">
      <c r="B12" s="178" t="s">
        <v>4</v>
      </c>
      <c r="C12" s="188"/>
      <c r="D12" s="208" t="s">
        <v>63</v>
      </c>
      <c r="E12" s="208"/>
    </row>
    <row r="13" spans="2:9" collapsed="1">
      <c r="B13" s="176" t="s">
        <v>5</v>
      </c>
      <c r="C13" s="187"/>
      <c r="D13" s="208" t="s">
        <v>134</v>
      </c>
      <c r="E13" s="208"/>
      <c r="I13" s="7"/>
    </row>
    <row r="14" spans="2:9">
      <c r="B14" s="176" t="s">
        <v>6</v>
      </c>
      <c r="C14" s="187"/>
      <c r="D14" s="208" t="s">
        <v>142</v>
      </c>
      <c r="E14" s="208"/>
    </row>
    <row r="15" spans="2:9" ht="30.75" hidden="1" customHeight="1" outlineLevel="1">
      <c r="B15" s="18" t="s">
        <v>8</v>
      </c>
      <c r="C15" s="140"/>
      <c r="D15" s="209" t="s">
        <v>64</v>
      </c>
      <c r="E15" s="169"/>
      <c r="I15" s="7"/>
    </row>
    <row r="16" spans="2:9" ht="16.5" collapsed="1" thickBot="1">
      <c r="B16" s="250" t="s">
        <v>182</v>
      </c>
      <c r="C16" s="250"/>
      <c r="D16" s="250"/>
      <c r="E16" s="250"/>
      <c r="F16" s="250"/>
      <c r="G16" s="250"/>
      <c r="H16" s="250"/>
      <c r="I16" s="7"/>
    </row>
    <row r="17" spans="2:14" ht="43.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7"/>
    </row>
    <row r="18" spans="2:14">
      <c r="B18" s="163" t="s">
        <v>11</v>
      </c>
      <c r="C18" s="222">
        <v>1651693.2845152544</v>
      </c>
      <c r="D18" s="223"/>
      <c r="E18" s="228">
        <v>1152737.6930372883</v>
      </c>
      <c r="F18" s="260"/>
      <c r="G18" s="228">
        <v>498955.59147796611</v>
      </c>
      <c r="H18" s="229"/>
      <c r="I18" s="7"/>
    </row>
    <row r="19" spans="2:14">
      <c r="B19" s="164" t="s">
        <v>12</v>
      </c>
      <c r="C19" s="224">
        <v>1498834.7600000002</v>
      </c>
      <c r="D19" s="225"/>
      <c r="E19" s="224">
        <v>1046880.5900000001</v>
      </c>
      <c r="F19" s="261"/>
      <c r="G19" s="224">
        <v>451954.17000000004</v>
      </c>
      <c r="H19" s="262"/>
      <c r="I19" s="7"/>
    </row>
    <row r="20" spans="2:14" ht="16.5" thickBot="1">
      <c r="B20" s="165" t="s">
        <v>89</v>
      </c>
      <c r="C20" s="226">
        <v>1778705.0388000002</v>
      </c>
      <c r="D20" s="227"/>
      <c r="E20" s="254">
        <v>1134097.2388000002</v>
      </c>
      <c r="F20" s="256"/>
      <c r="G20" s="254">
        <v>644607.80000000005</v>
      </c>
      <c r="H20" s="255"/>
      <c r="I20" s="7"/>
    </row>
    <row r="21" spans="2:14" ht="25.5" customHeight="1" thickBot="1">
      <c r="B21" s="166" t="s">
        <v>153</v>
      </c>
      <c r="C21" s="232">
        <f>E21+G21</f>
        <v>-279870.27880000009</v>
      </c>
      <c r="D21" s="233"/>
      <c r="E21" s="234">
        <f>E19-E20</f>
        <v>-87216.648800000083</v>
      </c>
      <c r="F21" s="235"/>
      <c r="G21" s="234">
        <f>G19-G20</f>
        <v>-192653.63</v>
      </c>
      <c r="H21" s="236"/>
      <c r="I21" s="7"/>
    </row>
    <row r="22" spans="2:14">
      <c r="B22" s="167"/>
      <c r="C22" s="168"/>
      <c r="D22" s="168"/>
      <c r="E22" s="158"/>
      <c r="F22" s="158"/>
      <c r="G22" s="158"/>
      <c r="H22" s="158"/>
      <c r="I22" s="7"/>
    </row>
    <row r="23" spans="2:14" ht="33" customHeight="1" thickBot="1">
      <c r="B23" s="247" t="s">
        <v>185</v>
      </c>
      <c r="C23" s="247"/>
      <c r="D23" s="247"/>
      <c r="E23" s="247"/>
      <c r="F23" s="247"/>
      <c r="G23" s="247"/>
      <c r="H23" s="247"/>
      <c r="L23" s="311"/>
      <c r="M23" s="299" t="s">
        <v>155</v>
      </c>
      <c r="N23" s="299" t="s">
        <v>156</v>
      </c>
    </row>
    <row r="24" spans="2:14" ht="33.7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L24" s="311"/>
      <c r="M24" s="300"/>
      <c r="N24" s="300"/>
    </row>
    <row r="25" spans="2:14" ht="48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M25" s="303">
        <v>187589.91</v>
      </c>
      <c r="N25" s="303">
        <f>187589.91*1.01</f>
        <v>189465.80910000001</v>
      </c>
    </row>
    <row r="26" spans="2:14" ht="39" customHeight="1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18794.452230623825</v>
      </c>
      <c r="G26" s="27">
        <f>$N$25/$N$26*E26</f>
        <v>18982.396752930064</v>
      </c>
      <c r="H26" s="28">
        <f>F26-G26</f>
        <v>-187.94452230623938</v>
      </c>
      <c r="I26" s="29"/>
      <c r="J26" s="207"/>
      <c r="K26" s="207"/>
      <c r="L26" s="312"/>
      <c r="M26" s="303">
        <f>E35-E33</f>
        <v>10.579999999999998</v>
      </c>
      <c r="N26" s="303">
        <f>E35-E33</f>
        <v>10.579999999999998</v>
      </c>
    </row>
    <row r="27" spans="2:14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4" si="0">$M$25/$M$26*E27</f>
        <v>21099.432221172028</v>
      </c>
      <c r="G27" s="27">
        <f t="shared" ref="G27:G31" si="1">$N$25/$N$26*E27</f>
        <v>21310.42654338375</v>
      </c>
      <c r="H27" s="28">
        <f t="shared" ref="H27:H32" si="2">F27-G27</f>
        <v>-210.99432221172174</v>
      </c>
      <c r="I27" s="34"/>
      <c r="J27" s="3"/>
      <c r="K27" s="3"/>
      <c r="L27" s="307" t="s">
        <v>140</v>
      </c>
      <c r="M27" s="306">
        <f>M28/14.75*M26</f>
        <v>0</v>
      </c>
      <c r="N27" s="306">
        <f>N28/14.75*N26</f>
        <v>0</v>
      </c>
    </row>
    <row r="28" spans="2:14" ht="15.75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5673.7968998109654</v>
      </c>
      <c r="G28" s="27">
        <f t="shared" si="1"/>
        <v>5730.5348688090753</v>
      </c>
      <c r="H28" s="28">
        <f t="shared" si="2"/>
        <v>-56.737968998109864</v>
      </c>
      <c r="I28" s="36"/>
      <c r="L28" s="307" t="s">
        <v>138</v>
      </c>
      <c r="M28" s="307"/>
      <c r="N28" s="307"/>
    </row>
    <row r="29" spans="2:14" ht="30" customHeight="1">
      <c r="B29" s="35" t="s">
        <v>85</v>
      </c>
      <c r="C29" s="37" t="s">
        <v>101</v>
      </c>
      <c r="D29" s="24" t="s">
        <v>100</v>
      </c>
      <c r="E29" s="32">
        <v>0.23</v>
      </c>
      <c r="F29" s="26">
        <f t="shared" si="0"/>
        <v>4078.0415217391314</v>
      </c>
      <c r="G29" s="27">
        <f t="shared" si="1"/>
        <v>4118.8219369565231</v>
      </c>
      <c r="H29" s="28">
        <f t="shared" si="2"/>
        <v>-40.780415217391692</v>
      </c>
      <c r="I29" s="36"/>
      <c r="L29" s="306" t="s">
        <v>141</v>
      </c>
      <c r="M29" s="306">
        <f>M28/14.75*E33</f>
        <v>0</v>
      </c>
      <c r="N29" s="306">
        <f>N28/14.75*E33</f>
        <v>0</v>
      </c>
    </row>
    <row r="30" spans="2:14" ht="51">
      <c r="B30" s="31" t="s">
        <v>88</v>
      </c>
      <c r="C30" s="23" t="s">
        <v>144</v>
      </c>
      <c r="D30" s="24" t="s">
        <v>100</v>
      </c>
      <c r="E30" s="32">
        <v>1.18</v>
      </c>
      <c r="F30" s="26">
        <f t="shared" si="0"/>
        <v>20922.126068052934</v>
      </c>
      <c r="G30" s="27">
        <f t="shared" si="1"/>
        <v>21131.347328733464</v>
      </c>
      <c r="H30" s="28">
        <f t="shared" si="2"/>
        <v>-209.22126068052967</v>
      </c>
      <c r="I30" s="36"/>
    </row>
    <row r="31" spans="2:14" ht="216" customHeight="1">
      <c r="B31" s="31" t="s">
        <v>128</v>
      </c>
      <c r="C31" s="23" t="s">
        <v>102</v>
      </c>
      <c r="D31" s="24" t="s">
        <v>100</v>
      </c>
      <c r="E31" s="32">
        <v>5.61</v>
      </c>
      <c r="F31" s="26">
        <f t="shared" si="0"/>
        <v>99468.751899810988</v>
      </c>
      <c r="G31" s="27">
        <f t="shared" si="1"/>
        <v>100463.43941880911</v>
      </c>
      <c r="H31" s="28">
        <f t="shared" si="2"/>
        <v>-994.68751899812196</v>
      </c>
      <c r="I31" s="34"/>
      <c r="J31" s="3"/>
      <c r="K31" s="3"/>
      <c r="L31" s="313"/>
      <c r="M31" s="304"/>
      <c r="N31" s="304"/>
    </row>
    <row r="32" spans="2:14" ht="111.75" customHeight="1">
      <c r="B32" s="31" t="s">
        <v>104</v>
      </c>
      <c r="C32" s="23" t="s">
        <v>99</v>
      </c>
      <c r="D32" s="24" t="s">
        <v>100</v>
      </c>
      <c r="E32" s="32">
        <v>0.24</v>
      </c>
      <c r="F32" s="26">
        <f t="shared" si="0"/>
        <v>4255.3476748582243</v>
      </c>
      <c r="G32" s="27">
        <f t="shared" ref="G32" si="3">$N$25/$N$26*E32</f>
        <v>4297.9011516068067</v>
      </c>
      <c r="H32" s="28">
        <f t="shared" si="2"/>
        <v>-42.553476748582398</v>
      </c>
      <c r="I32" s="36"/>
    </row>
    <row r="33" spans="2:14" ht="27" customHeight="1">
      <c r="B33" s="35" t="s">
        <v>92</v>
      </c>
      <c r="C33" s="23" t="s">
        <v>99</v>
      </c>
      <c r="D33" s="24" t="s">
        <v>100</v>
      </c>
      <c r="E33" s="32">
        <v>6.28</v>
      </c>
      <c r="F33" s="26">
        <v>111348.27</v>
      </c>
      <c r="G33" s="33">
        <v>13582</v>
      </c>
      <c r="H33" s="28">
        <f>F33-G33</f>
        <v>97766.27</v>
      </c>
      <c r="I33" s="36"/>
      <c r="L33" s="311"/>
    </row>
    <row r="34" spans="2:14" ht="16.5" thickBot="1">
      <c r="B34" s="66" t="s">
        <v>86</v>
      </c>
      <c r="C34" s="39" t="s">
        <v>102</v>
      </c>
      <c r="D34" s="40" t="s">
        <v>100</v>
      </c>
      <c r="E34" s="41">
        <v>0.75</v>
      </c>
      <c r="F34" s="26">
        <f t="shared" si="0"/>
        <v>13297.961483931951</v>
      </c>
      <c r="G34" s="27">
        <f t="shared" ref="G34" si="4">$N$25/$N$26*E34</f>
        <v>13430.941098771271</v>
      </c>
      <c r="H34" s="28">
        <f>F34-G34</f>
        <v>-132.97961483931977</v>
      </c>
      <c r="I34" s="36"/>
    </row>
    <row r="35" spans="2:14" ht="16.5" thickBot="1">
      <c r="B35" s="42" t="s">
        <v>90</v>
      </c>
      <c r="C35" s="43"/>
      <c r="D35" s="43"/>
      <c r="E35" s="44">
        <f>SUM(E26:E34)</f>
        <v>16.86</v>
      </c>
      <c r="F35" s="45">
        <f>SUM(F26:F34)</f>
        <v>298938.18000000005</v>
      </c>
      <c r="G35" s="46">
        <f>SUM(G26:G34)</f>
        <v>203047.80910000004</v>
      </c>
      <c r="H35" s="47">
        <f>SUM(H26:H34)</f>
        <v>95890.37089999998</v>
      </c>
      <c r="I35" s="69"/>
    </row>
    <row r="36" spans="2:14">
      <c r="B36" s="7"/>
      <c r="C36" s="7"/>
      <c r="D36" s="7"/>
      <c r="E36" s="17"/>
      <c r="F36" s="17"/>
      <c r="G36" s="17"/>
      <c r="H36" s="4"/>
    </row>
    <row r="37" spans="2:14" ht="16.5" customHeight="1" thickBot="1">
      <c r="B37" s="250" t="s">
        <v>187</v>
      </c>
      <c r="C37" s="250"/>
      <c r="D37" s="250"/>
      <c r="E37" s="250"/>
      <c r="F37" s="250"/>
      <c r="G37" s="250"/>
      <c r="H37" s="250"/>
      <c r="I37" s="48"/>
      <c r="J37" s="48"/>
    </row>
    <row r="38" spans="2:14" ht="44.25" customHeight="1" thickBot="1">
      <c r="B38" s="193" t="s">
        <v>188</v>
      </c>
      <c r="C38" s="230" t="s">
        <v>103</v>
      </c>
      <c r="D38" s="231"/>
      <c r="E38" s="257" t="s">
        <v>9</v>
      </c>
      <c r="F38" s="258"/>
      <c r="G38" s="257" t="s">
        <v>10</v>
      </c>
      <c r="H38" s="259"/>
      <c r="I38" s="182"/>
      <c r="J38" s="171"/>
      <c r="K38" s="49"/>
      <c r="L38" s="314"/>
      <c r="M38" s="305"/>
      <c r="N38" s="305"/>
    </row>
    <row r="39" spans="2:14">
      <c r="B39" s="163" t="s">
        <v>11</v>
      </c>
      <c r="C39" s="228">
        <f>E39+G39</f>
        <v>1950631.4645152544</v>
      </c>
      <c r="D39" s="260"/>
      <c r="E39" s="228">
        <f>F26+F27+F28+F29+F30+F31+F32+F34+E18</f>
        <v>1340327.6030372884</v>
      </c>
      <c r="F39" s="260"/>
      <c r="G39" s="228">
        <f>F33+G18</f>
        <v>610303.86147796607</v>
      </c>
      <c r="H39" s="229"/>
      <c r="I39" s="172"/>
      <c r="J39" s="173"/>
      <c r="K39" s="52"/>
      <c r="L39" s="309"/>
      <c r="M39" s="306"/>
    </row>
    <row r="40" spans="2:14">
      <c r="B40" s="164" t="s">
        <v>12</v>
      </c>
      <c r="C40" s="224">
        <f>E40+G40</f>
        <v>1768168.5500000003</v>
      </c>
      <c r="D40" s="261"/>
      <c r="E40" s="224">
        <f>E19+169012.54</f>
        <v>1215893.1300000001</v>
      </c>
      <c r="F40" s="261"/>
      <c r="G40" s="224">
        <f>G19+100321.25</f>
        <v>552275.42000000004</v>
      </c>
      <c r="H40" s="262"/>
      <c r="I40" s="172"/>
      <c r="J40" s="174"/>
      <c r="K40" s="54"/>
      <c r="L40" s="309"/>
      <c r="M40" s="306"/>
    </row>
    <row r="41" spans="2:14" ht="16.5" thickBot="1">
      <c r="B41" s="165" t="s">
        <v>89</v>
      </c>
      <c r="C41" s="254">
        <f>E41+G41</f>
        <v>1981752.8479000002</v>
      </c>
      <c r="D41" s="256"/>
      <c r="E41" s="254">
        <f>G26+G27+G28+G29+G30+G31+G32+G34+E20</f>
        <v>1323563.0479000001</v>
      </c>
      <c r="F41" s="256"/>
      <c r="G41" s="254">
        <f>G33+G20</f>
        <v>658189.80000000005</v>
      </c>
      <c r="H41" s="255"/>
      <c r="I41" s="172"/>
      <c r="J41" s="51"/>
      <c r="K41" s="36"/>
      <c r="L41" s="315"/>
    </row>
    <row r="42" spans="2:14" ht="28.5" customHeight="1" thickBot="1">
      <c r="B42" s="166" t="s">
        <v>154</v>
      </c>
      <c r="C42" s="232">
        <f>E42+G42</f>
        <v>-213584.29790000001</v>
      </c>
      <c r="D42" s="233"/>
      <c r="E42" s="234">
        <f>E40-E41</f>
        <v>-107669.9179</v>
      </c>
      <c r="F42" s="235"/>
      <c r="G42" s="234">
        <f>G40-G41</f>
        <v>-105914.38</v>
      </c>
      <c r="H42" s="236"/>
      <c r="I42" s="175"/>
      <c r="J42" s="159"/>
      <c r="K42" s="36"/>
      <c r="L42" s="315"/>
    </row>
    <row r="43" spans="2:14" ht="13.5" customHeight="1">
      <c r="B43" s="82"/>
      <c r="C43" s="157"/>
      <c r="D43" s="157"/>
      <c r="E43" s="159"/>
      <c r="F43" s="159"/>
      <c r="G43" s="159"/>
      <c r="H43" s="159"/>
      <c r="I43" s="183"/>
      <c r="J43" s="34"/>
      <c r="K43" s="3"/>
      <c r="L43" s="304"/>
      <c r="M43" s="304"/>
      <c r="N43" s="304"/>
    </row>
    <row r="44" spans="2:14" ht="15.75" customHeight="1">
      <c r="B44" s="55" t="s">
        <v>78</v>
      </c>
      <c r="C44" s="237" t="s">
        <v>157</v>
      </c>
      <c r="D44" s="237"/>
      <c r="E44" s="237"/>
      <c r="F44" s="252" t="s">
        <v>13</v>
      </c>
      <c r="G44" s="252"/>
      <c r="H44" s="55"/>
      <c r="I44" s="183"/>
      <c r="J44" s="34"/>
      <c r="K44" s="3"/>
      <c r="L44" s="304"/>
      <c r="M44" s="304"/>
      <c r="N44" s="304"/>
    </row>
    <row r="45" spans="2:14" ht="9" customHeight="1">
      <c r="B45" s="55"/>
      <c r="C45" s="56"/>
      <c r="D45" s="56"/>
      <c r="E45" s="220"/>
      <c r="F45" s="253"/>
      <c r="G45" s="253"/>
      <c r="H45" s="55"/>
      <c r="I45" s="55"/>
      <c r="J45" s="3"/>
      <c r="K45" s="3"/>
      <c r="L45" s="304"/>
      <c r="M45" s="304"/>
      <c r="N45" s="304"/>
    </row>
    <row r="46" spans="2:14" ht="14.25" customHeight="1">
      <c r="B46" s="55" t="s">
        <v>79</v>
      </c>
      <c r="C46" s="237" t="s">
        <v>157</v>
      </c>
      <c r="D46" s="237"/>
      <c r="E46" s="237"/>
      <c r="F46" s="252" t="s">
        <v>94</v>
      </c>
      <c r="G46" s="252"/>
      <c r="H46" s="55"/>
      <c r="I46" s="55"/>
    </row>
    <row r="47" spans="2:14" ht="9" customHeight="1">
      <c r="B47" s="55"/>
      <c r="C47" s="56"/>
      <c r="D47" s="56"/>
      <c r="E47" s="220"/>
      <c r="F47" s="252"/>
      <c r="G47" s="252"/>
      <c r="H47" s="55"/>
      <c r="I47" s="55"/>
    </row>
    <row r="48" spans="2:14" ht="14.25" customHeight="1">
      <c r="B48" s="55" t="s">
        <v>80</v>
      </c>
      <c r="C48" s="237" t="s">
        <v>158</v>
      </c>
      <c r="D48" s="237"/>
      <c r="E48" s="237"/>
      <c r="F48" s="252" t="s">
        <v>96</v>
      </c>
      <c r="G48" s="252"/>
      <c r="H48" s="55"/>
      <c r="I48" s="8"/>
    </row>
    <row r="49" spans="2:8" ht="10.5" customHeight="1">
      <c r="B49" s="57"/>
      <c r="C49" s="58"/>
      <c r="D49" s="58"/>
      <c r="E49" s="220"/>
      <c r="F49" s="59"/>
      <c r="G49" s="57"/>
      <c r="H49" s="60"/>
    </row>
    <row r="50" spans="2:8" ht="16.5" customHeight="1">
      <c r="B50" s="55" t="s">
        <v>81</v>
      </c>
      <c r="C50" s="237" t="s">
        <v>158</v>
      </c>
      <c r="D50" s="237"/>
      <c r="E50" s="237"/>
      <c r="F50" s="252" t="s">
        <v>96</v>
      </c>
      <c r="G50" s="252"/>
      <c r="H50" s="55"/>
    </row>
    <row r="51" spans="2:8">
      <c r="C51" s="17"/>
    </row>
    <row r="52" spans="2:8">
      <c r="C52" s="17"/>
    </row>
    <row r="53" spans="2:8">
      <c r="C53" s="17"/>
    </row>
    <row r="54" spans="2:8">
      <c r="C54" s="17"/>
    </row>
    <row r="55" spans="2:8">
      <c r="C55" s="17"/>
    </row>
    <row r="56" spans="2:8">
      <c r="C56" s="17"/>
    </row>
    <row r="57" spans="2:8">
      <c r="C57" s="17"/>
    </row>
    <row r="58" spans="2:8">
      <c r="C58" s="17"/>
    </row>
    <row r="59" spans="2:8">
      <c r="C59" s="17"/>
    </row>
    <row r="60" spans="2:8">
      <c r="C60" s="17"/>
    </row>
    <row r="61" spans="2:8">
      <c r="C61" s="17"/>
    </row>
    <row r="62" spans="2:8">
      <c r="C62" s="17"/>
    </row>
    <row r="63" spans="2:8">
      <c r="C63" s="17"/>
    </row>
    <row r="64" spans="2:8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</sheetData>
  <mergeCells count="57">
    <mergeCell ref="C48:E48"/>
    <mergeCell ref="F48:G48"/>
    <mergeCell ref="C50:E50"/>
    <mergeCell ref="C38:D38"/>
    <mergeCell ref="C39:D39"/>
    <mergeCell ref="C40:D40"/>
    <mergeCell ref="C41:D41"/>
    <mergeCell ref="C42:D42"/>
    <mergeCell ref="F46:G46"/>
    <mergeCell ref="F50:G50"/>
    <mergeCell ref="F44:G44"/>
    <mergeCell ref="F45:G45"/>
    <mergeCell ref="F47:G47"/>
    <mergeCell ref="C44:E44"/>
    <mergeCell ref="C46:E46"/>
    <mergeCell ref="C21:D21"/>
    <mergeCell ref="E21:F21"/>
    <mergeCell ref="G21:H21"/>
    <mergeCell ref="M23:M24"/>
    <mergeCell ref="N23:N24"/>
    <mergeCell ref="E19:F19"/>
    <mergeCell ref="G19:H19"/>
    <mergeCell ref="C20:D20"/>
    <mergeCell ref="E20:F20"/>
    <mergeCell ref="G20:H20"/>
    <mergeCell ref="D8:E8"/>
    <mergeCell ref="B23:H23"/>
    <mergeCell ref="B24:B25"/>
    <mergeCell ref="C24:C25"/>
    <mergeCell ref="D24:D25"/>
    <mergeCell ref="E24:E25"/>
    <mergeCell ref="F24:G24"/>
    <mergeCell ref="H24:H25"/>
    <mergeCell ref="B16:H16"/>
    <mergeCell ref="C17:D17"/>
    <mergeCell ref="E17:F17"/>
    <mergeCell ref="G17:H17"/>
    <mergeCell ref="C18:D18"/>
    <mergeCell ref="E18:F18"/>
    <mergeCell ref="G18:H18"/>
    <mergeCell ref="C19:D19"/>
    <mergeCell ref="B1:H1"/>
    <mergeCell ref="E42:F42"/>
    <mergeCell ref="G42:H42"/>
    <mergeCell ref="G39:H39"/>
    <mergeCell ref="E41:F41"/>
    <mergeCell ref="E39:F39"/>
    <mergeCell ref="E40:F40"/>
    <mergeCell ref="G40:H40"/>
    <mergeCell ref="B2:H2"/>
    <mergeCell ref="B3:H3"/>
    <mergeCell ref="B4:H4"/>
    <mergeCell ref="B37:H37"/>
    <mergeCell ref="G41:H41"/>
    <mergeCell ref="E38:F38"/>
    <mergeCell ref="G38:H38"/>
    <mergeCell ref="B5:H6"/>
  </mergeCells>
  <printOptions horizontalCentered="1"/>
  <pageMargins left="0.19685039370078741" right="0.19685039370078741" top="0.19685039370078741" bottom="0.23622047244094491" header="0.31496062992125984" footer="0.24"/>
  <pageSetup paperSize="9"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81"/>
  <sheetViews>
    <sheetView topLeftCell="M13" zoomScale="110" zoomScaleNormal="110" workbookViewId="0">
      <selection activeCell="N1" sqref="N1:O1048576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4.42578125" style="4" customWidth="1"/>
    <col min="4" max="4" width="8.5703125" style="4" customWidth="1"/>
    <col min="5" max="5" width="9.5703125" style="4" customWidth="1"/>
    <col min="6" max="6" width="9.5703125" style="1" customWidth="1"/>
    <col min="7" max="7" width="10.28515625" style="1" customWidth="1"/>
    <col min="8" max="8" width="10.5703125" style="1" customWidth="1"/>
    <col min="9" max="9" width="15.85546875" style="1" customWidth="1"/>
    <col min="10" max="11" width="14" style="1" customWidth="1"/>
    <col min="12" max="13" width="9.140625" style="1"/>
    <col min="14" max="14" width="16.85546875" style="298" customWidth="1"/>
    <col min="15" max="15" width="15.42578125" style="298" customWidth="1"/>
    <col min="16" max="16384" width="9.140625" style="1"/>
  </cols>
  <sheetData>
    <row r="1" spans="1:11">
      <c r="B1" s="221" t="s">
        <v>126</v>
      </c>
      <c r="C1" s="221"/>
      <c r="D1" s="221"/>
      <c r="E1" s="221"/>
      <c r="F1" s="221"/>
      <c r="G1" s="221"/>
      <c r="H1" s="221"/>
      <c r="I1" s="57"/>
      <c r="J1" s="57"/>
      <c r="K1" s="10"/>
    </row>
    <row r="2" spans="1:11">
      <c r="B2" s="221" t="s">
        <v>127</v>
      </c>
      <c r="C2" s="221"/>
      <c r="D2" s="221"/>
      <c r="E2" s="221"/>
      <c r="F2" s="221"/>
      <c r="G2" s="221"/>
      <c r="H2" s="221"/>
      <c r="I2" s="57"/>
      <c r="J2" s="57"/>
      <c r="K2" s="10"/>
    </row>
    <row r="3" spans="1:11">
      <c r="B3" s="221" t="s">
        <v>175</v>
      </c>
      <c r="C3" s="221"/>
      <c r="D3" s="221"/>
      <c r="E3" s="221"/>
      <c r="F3" s="221"/>
      <c r="G3" s="221"/>
      <c r="H3" s="221"/>
      <c r="I3" s="57"/>
      <c r="J3" s="57"/>
      <c r="K3" s="10"/>
    </row>
    <row r="4" spans="1:11">
      <c r="B4" s="221" t="s">
        <v>191</v>
      </c>
      <c r="C4" s="221"/>
      <c r="D4" s="221"/>
      <c r="E4" s="221"/>
      <c r="F4" s="221"/>
      <c r="G4" s="221"/>
      <c r="H4" s="221"/>
      <c r="I4" s="57"/>
      <c r="J4" s="57"/>
      <c r="K4" s="10"/>
    </row>
    <row r="5" spans="1:11" ht="15.75" customHeight="1">
      <c r="A5" s="16"/>
      <c r="B5" s="238" t="s">
        <v>184</v>
      </c>
      <c r="C5" s="238"/>
      <c r="D5" s="238"/>
      <c r="E5" s="238"/>
      <c r="F5" s="238"/>
      <c r="G5" s="238"/>
      <c r="H5" s="238"/>
      <c r="I5" s="16"/>
    </row>
    <row r="6" spans="1:11" ht="24" customHeight="1">
      <c r="A6" s="16"/>
      <c r="B6" s="238"/>
      <c r="C6" s="238"/>
      <c r="D6" s="238"/>
      <c r="E6" s="238"/>
      <c r="F6" s="238"/>
      <c r="G6" s="238"/>
      <c r="H6" s="238"/>
      <c r="I6" s="16"/>
    </row>
    <row r="7" spans="1:11" ht="8.25" customHeight="1"/>
    <row r="8" spans="1:11">
      <c r="B8" s="176" t="s">
        <v>0</v>
      </c>
      <c r="C8" s="185"/>
      <c r="D8" s="245" t="s">
        <v>65</v>
      </c>
      <c r="E8" s="245"/>
    </row>
    <row r="9" spans="1:11">
      <c r="B9" s="176" t="s">
        <v>1</v>
      </c>
      <c r="C9" s="185"/>
      <c r="D9" s="208">
        <v>1969</v>
      </c>
      <c r="E9" s="208"/>
    </row>
    <row r="10" spans="1:11" hidden="1" outlineLevel="1">
      <c r="B10" s="176" t="s">
        <v>2</v>
      </c>
      <c r="C10" s="185"/>
      <c r="D10" s="208">
        <v>4</v>
      </c>
      <c r="E10" s="208"/>
    </row>
    <row r="11" spans="1:11" hidden="1" outlineLevel="1">
      <c r="B11" s="176" t="s">
        <v>3</v>
      </c>
      <c r="C11" s="185"/>
      <c r="D11" s="208">
        <v>63</v>
      </c>
      <c r="E11" s="208"/>
    </row>
    <row r="12" spans="1:11" ht="30.75" hidden="1" customHeight="1" outlineLevel="1">
      <c r="B12" s="178" t="s">
        <v>4</v>
      </c>
      <c r="C12" s="186"/>
      <c r="D12" s="208" t="s">
        <v>66</v>
      </c>
      <c r="E12" s="208"/>
    </row>
    <row r="13" spans="1:11" collapsed="1">
      <c r="B13" s="176" t="s">
        <v>5</v>
      </c>
      <c r="C13" s="185"/>
      <c r="D13" s="208" t="s">
        <v>135</v>
      </c>
      <c r="E13" s="208"/>
      <c r="I13" s="7"/>
    </row>
    <row r="14" spans="1:11" hidden="1" outlineLevel="1">
      <c r="B14" s="1" t="s">
        <v>6</v>
      </c>
      <c r="D14" s="169" t="s">
        <v>67</v>
      </c>
      <c r="E14" s="169"/>
    </row>
    <row r="15" spans="1:11" ht="30.75" hidden="1" customHeight="1" outlineLevel="1">
      <c r="B15" s="18" t="s">
        <v>8</v>
      </c>
      <c r="C15" s="77"/>
      <c r="D15" s="209" t="s">
        <v>68</v>
      </c>
      <c r="E15" s="169"/>
      <c r="I15" s="7"/>
    </row>
    <row r="16" spans="1:11" ht="20.25" customHeight="1" collapsed="1" thickBot="1">
      <c r="B16" s="250" t="s">
        <v>182</v>
      </c>
      <c r="C16" s="250"/>
      <c r="D16" s="250"/>
      <c r="E16" s="250"/>
      <c r="F16" s="250"/>
      <c r="G16" s="250"/>
      <c r="H16" s="250"/>
      <c r="I16" s="156"/>
      <c r="J16" s="156"/>
    </row>
    <row r="17" spans="2:15" ht="45.75" customHeight="1" thickBot="1">
      <c r="B17" s="193" t="s">
        <v>190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13"/>
      <c r="J17" s="13"/>
    </row>
    <row r="18" spans="2:15">
      <c r="B18" s="163" t="s">
        <v>11</v>
      </c>
      <c r="C18" s="222">
        <v>6182061.1499999994</v>
      </c>
      <c r="D18" s="223"/>
      <c r="E18" s="228">
        <v>1938711.0699999998</v>
      </c>
      <c r="F18" s="260"/>
      <c r="G18" s="228">
        <v>811901.98</v>
      </c>
      <c r="H18" s="229"/>
      <c r="I18" s="14"/>
      <c r="J18" s="14"/>
    </row>
    <row r="19" spans="2:15">
      <c r="B19" s="164" t="s">
        <v>12</v>
      </c>
      <c r="C19" s="224">
        <v>6120689.5899999999</v>
      </c>
      <c r="D19" s="225"/>
      <c r="E19" s="224">
        <v>1882246.02</v>
      </c>
      <c r="F19" s="261"/>
      <c r="G19" s="224">
        <v>797536.76</v>
      </c>
      <c r="H19" s="262"/>
      <c r="I19" s="14"/>
      <c r="J19" s="14"/>
    </row>
    <row r="20" spans="2:15" ht="16.5" thickBot="1">
      <c r="B20" s="165" t="s">
        <v>89</v>
      </c>
      <c r="C20" s="226">
        <v>6603074.8881000001</v>
      </c>
      <c r="D20" s="227"/>
      <c r="E20" s="254">
        <v>1942666.7881</v>
      </c>
      <c r="F20" s="256"/>
      <c r="G20" s="254">
        <v>1228960</v>
      </c>
      <c r="H20" s="255"/>
      <c r="I20" s="14"/>
      <c r="J20" s="14"/>
    </row>
    <row r="21" spans="2:15" ht="26.25" customHeight="1" thickBot="1">
      <c r="B21" s="166" t="s">
        <v>153</v>
      </c>
      <c r="C21" s="232">
        <f>C19-C20</f>
        <v>-482385.29810000025</v>
      </c>
      <c r="D21" s="233"/>
      <c r="E21" s="234">
        <f>E19-E20</f>
        <v>-60420.768099999987</v>
      </c>
      <c r="F21" s="235"/>
      <c r="G21" s="234">
        <f>G19-G20</f>
        <v>-431423.24</v>
      </c>
      <c r="H21" s="236"/>
      <c r="I21" s="157"/>
      <c r="J21" s="157"/>
    </row>
    <row r="22" spans="2:15">
      <c r="B22" s="18"/>
      <c r="C22" s="77"/>
      <c r="D22" s="209"/>
      <c r="E22" s="169"/>
      <c r="I22" s="7"/>
    </row>
    <row r="23" spans="2:15" ht="38.25" customHeight="1" thickBot="1">
      <c r="B23" s="247" t="s">
        <v>185</v>
      </c>
      <c r="C23" s="247"/>
      <c r="D23" s="247"/>
      <c r="E23" s="247"/>
      <c r="F23" s="247"/>
      <c r="G23" s="247"/>
      <c r="H23" s="247"/>
      <c r="M23" s="7"/>
      <c r="N23" s="299" t="s">
        <v>155</v>
      </c>
      <c r="O23" s="299" t="s">
        <v>156</v>
      </c>
    </row>
    <row r="24" spans="2:15" ht="32.2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M24" s="7"/>
      <c r="N24" s="300"/>
      <c r="O24" s="300"/>
    </row>
    <row r="25" spans="2:15" ht="41.2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N25" s="301">
        <v>307168.8</v>
      </c>
      <c r="O25" s="301">
        <f>307168.8*1.01</f>
        <v>310240.48800000001</v>
      </c>
    </row>
    <row r="26" spans="2:15" ht="38.25">
      <c r="B26" s="22" t="s">
        <v>87</v>
      </c>
      <c r="C26" s="23" t="s">
        <v>99</v>
      </c>
      <c r="D26" s="24" t="s">
        <v>100</v>
      </c>
      <c r="E26" s="25">
        <v>1.06</v>
      </c>
      <c r="F26" s="26">
        <f>$N$25/$N$26*E26</f>
        <v>32462.505284147552</v>
      </c>
      <c r="G26" s="27">
        <f>$O$25/$O$26*E26</f>
        <v>32787.13033698903</v>
      </c>
      <c r="H26" s="28">
        <f>F26-G26</f>
        <v>-324.62505284147846</v>
      </c>
      <c r="I26" s="29"/>
      <c r="J26" s="207"/>
      <c r="K26" s="207"/>
      <c r="L26" s="207"/>
      <c r="M26" s="30"/>
      <c r="N26" s="303">
        <f>E36-E34</f>
        <v>10.030000000000001</v>
      </c>
      <c r="O26" s="303">
        <f>E36-E34</f>
        <v>10.030000000000001</v>
      </c>
    </row>
    <row r="27" spans="2:15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5" si="0">$N$25/$N$26*E27</f>
        <v>36443.755932203378</v>
      </c>
      <c r="G27" s="27">
        <f t="shared" ref="G27:G32" si="1">$O$25/$O$26*E27</f>
        <v>36808.193491525417</v>
      </c>
      <c r="H27" s="28">
        <f t="shared" ref="H27:H33" si="2">F27-G27</f>
        <v>-364.43755932203931</v>
      </c>
      <c r="I27" s="34"/>
      <c r="J27" s="3"/>
      <c r="K27" s="3"/>
      <c r="L27" s="3"/>
      <c r="M27" s="3"/>
      <c r="N27" s="304"/>
      <c r="O27" s="304"/>
    </row>
    <row r="28" spans="2:15" ht="36.75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9800.0015952143549</v>
      </c>
      <c r="G28" s="27">
        <f t="shared" si="1"/>
        <v>9898.0016111665009</v>
      </c>
      <c r="H28" s="28">
        <f t="shared" si="2"/>
        <v>-98.000015952145986</v>
      </c>
      <c r="I28" s="36"/>
      <c r="M28" s="7"/>
    </row>
    <row r="29" spans="2:15" ht="25.5">
      <c r="B29" s="35" t="s">
        <v>85</v>
      </c>
      <c r="C29" s="37" t="s">
        <v>101</v>
      </c>
      <c r="D29" s="24" t="s">
        <v>100</v>
      </c>
      <c r="E29" s="32">
        <v>0.18</v>
      </c>
      <c r="F29" s="26">
        <f t="shared" si="0"/>
        <v>5512.5008973080749</v>
      </c>
      <c r="G29" s="27">
        <f t="shared" si="1"/>
        <v>5567.6259062811559</v>
      </c>
      <c r="H29" s="28">
        <f t="shared" si="2"/>
        <v>-55.125008973081094</v>
      </c>
      <c r="I29" s="36"/>
      <c r="M29" s="7"/>
    </row>
    <row r="30" spans="2:15">
      <c r="B30" s="35" t="s">
        <v>179</v>
      </c>
      <c r="C30" s="189" t="s">
        <v>180</v>
      </c>
      <c r="D30" s="24" t="s">
        <v>100</v>
      </c>
      <c r="E30" s="32"/>
      <c r="F30" s="26"/>
      <c r="G30" s="27"/>
      <c r="H30" s="28">
        <f t="shared" si="2"/>
        <v>0</v>
      </c>
      <c r="I30" s="36"/>
      <c r="M30" s="7"/>
    </row>
    <row r="31" spans="2:15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36137.505882352933</v>
      </c>
      <c r="G31" s="27">
        <f t="shared" si="1"/>
        <v>36498.880941176467</v>
      </c>
      <c r="H31" s="28">
        <f t="shared" si="2"/>
        <v>-361.37505882353435</v>
      </c>
      <c r="I31" s="36"/>
    </row>
    <row r="32" spans="2:15" ht="216.75" customHeight="1">
      <c r="B32" s="31" t="s">
        <v>128</v>
      </c>
      <c r="C32" s="23" t="s">
        <v>102</v>
      </c>
      <c r="D32" s="24" t="s">
        <v>100</v>
      </c>
      <c r="E32" s="32">
        <v>5.61</v>
      </c>
      <c r="F32" s="26">
        <f t="shared" si="0"/>
        <v>171806.27796610168</v>
      </c>
      <c r="G32" s="27">
        <f t="shared" si="1"/>
        <v>173524.34074576272</v>
      </c>
      <c r="H32" s="28">
        <f t="shared" si="2"/>
        <v>-1718.0627796610352</v>
      </c>
      <c r="I32" s="34"/>
      <c r="J32" s="3"/>
      <c r="K32" s="3"/>
      <c r="L32" s="3"/>
      <c r="M32" s="6"/>
      <c r="N32" s="304"/>
      <c r="O32" s="304"/>
    </row>
    <row r="33" spans="2:15" ht="105.75" customHeight="1">
      <c r="B33" s="31" t="s">
        <v>104</v>
      </c>
      <c r="C33" s="23" t="s">
        <v>99</v>
      </c>
      <c r="D33" s="24" t="s">
        <v>100</v>
      </c>
      <c r="E33" s="32">
        <v>0.24</v>
      </c>
      <c r="F33" s="26">
        <f t="shared" si="0"/>
        <v>7350.0011964107662</v>
      </c>
      <c r="G33" s="27">
        <f t="shared" ref="G33" si="3">$O$25/$O$26*E33</f>
        <v>7423.5012083748743</v>
      </c>
      <c r="H33" s="28">
        <f t="shared" si="2"/>
        <v>-73.500011964108126</v>
      </c>
      <c r="I33" s="36"/>
    </row>
    <row r="34" spans="2:15" ht="26.25" customHeight="1">
      <c r="B34" s="35" t="s">
        <v>92</v>
      </c>
      <c r="C34" s="23" t="s">
        <v>99</v>
      </c>
      <c r="D34" s="24" t="s">
        <v>100</v>
      </c>
      <c r="E34" s="32">
        <v>7.22</v>
      </c>
      <c r="F34" s="26">
        <v>221112.53</v>
      </c>
      <c r="G34" s="33">
        <v>134010</v>
      </c>
      <c r="H34" s="28">
        <f>F34-G34</f>
        <v>87102.53</v>
      </c>
      <c r="I34" s="36"/>
      <c r="M34" s="7"/>
    </row>
    <row r="35" spans="2:15" ht="16.5" thickBot="1">
      <c r="B35" s="66" t="s">
        <v>86</v>
      </c>
      <c r="C35" s="39" t="s">
        <v>102</v>
      </c>
      <c r="D35" s="40" t="s">
        <v>100</v>
      </c>
      <c r="E35" s="41">
        <v>0.25</v>
      </c>
      <c r="F35" s="26">
        <f t="shared" si="0"/>
        <v>7656.2512462612149</v>
      </c>
      <c r="G35" s="27">
        <f t="shared" ref="G35" si="4">$O$25/$O$26*E35</f>
        <v>7732.813758723828</v>
      </c>
      <c r="H35" s="28">
        <f>F35-G35</f>
        <v>-76.562512462613086</v>
      </c>
      <c r="I35" s="36"/>
    </row>
    <row r="36" spans="2:15" ht="16.5" thickBot="1">
      <c r="B36" s="42" t="s">
        <v>90</v>
      </c>
      <c r="C36" s="43"/>
      <c r="D36" s="43"/>
      <c r="E36" s="44">
        <f>SUM(E26:E35)</f>
        <v>17.25</v>
      </c>
      <c r="F36" s="45">
        <f>SUM(F26:F35)</f>
        <v>528281.32999999996</v>
      </c>
      <c r="G36" s="46">
        <f>SUM(G26:G35)</f>
        <v>444250.48800000001</v>
      </c>
      <c r="H36" s="47">
        <f>SUM(H26:H35)</f>
        <v>84030.841999999961</v>
      </c>
      <c r="I36" s="69"/>
    </row>
    <row r="37" spans="2:15">
      <c r="B37" s="7"/>
      <c r="C37" s="7"/>
      <c r="D37" s="7"/>
      <c r="E37" s="17"/>
      <c r="F37" s="17"/>
      <c r="G37" s="17"/>
      <c r="H37" s="4"/>
    </row>
    <row r="38" spans="2:15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156"/>
      <c r="J38" s="156"/>
      <c r="K38" s="12"/>
    </row>
    <row r="39" spans="2:15" ht="41.25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3"/>
      <c r="J39" s="13"/>
      <c r="K39" s="13"/>
      <c r="L39" s="49"/>
      <c r="M39" s="50"/>
      <c r="N39" s="305"/>
      <c r="O39" s="305"/>
    </row>
    <row r="40" spans="2:15">
      <c r="B40" s="163" t="s">
        <v>11</v>
      </c>
      <c r="C40" s="228">
        <f>E40+G40+I40+J40</f>
        <v>3278894.38</v>
      </c>
      <c r="D40" s="260"/>
      <c r="E40" s="228">
        <f>F26+F27+F28+F29+F31+F32+F33+F35+E18</f>
        <v>2245879.8699999996</v>
      </c>
      <c r="F40" s="260"/>
      <c r="G40" s="228">
        <f>F34+G18</f>
        <v>1033014.51</v>
      </c>
      <c r="H40" s="229"/>
      <c r="I40" s="14"/>
      <c r="J40" s="14"/>
      <c r="K40" s="14"/>
      <c r="L40" s="52"/>
      <c r="M40" s="52"/>
      <c r="N40" s="306"/>
    </row>
    <row r="41" spans="2:15">
      <c r="B41" s="164" t="s">
        <v>12</v>
      </c>
      <c r="C41" s="224">
        <f>E41+G41+I41+J41</f>
        <v>3152958.4000000004</v>
      </c>
      <c r="D41" s="261"/>
      <c r="E41" s="224">
        <f>E19+275127.62</f>
        <v>2157373.64</v>
      </c>
      <c r="F41" s="261"/>
      <c r="G41" s="224">
        <f>G19+198048</f>
        <v>995584.76</v>
      </c>
      <c r="H41" s="262"/>
      <c r="I41" s="14"/>
      <c r="J41" s="14"/>
      <c r="K41" s="14"/>
      <c r="L41" s="54"/>
      <c r="M41" s="52"/>
      <c r="N41" s="306"/>
    </row>
    <row r="42" spans="2:15" ht="16.5" thickBot="1">
      <c r="B42" s="165" t="s">
        <v>89</v>
      </c>
      <c r="C42" s="226">
        <f>E42+G42+I42+J42</f>
        <v>3615877.2760999999</v>
      </c>
      <c r="D42" s="277"/>
      <c r="E42" s="226">
        <f>G26+G27+G28+G29+G31+G32+G33+G35+E20</f>
        <v>2252907.2760999999</v>
      </c>
      <c r="F42" s="277"/>
      <c r="G42" s="226">
        <f>G34+G20</f>
        <v>1362970</v>
      </c>
      <c r="H42" s="279"/>
      <c r="I42" s="14"/>
      <c r="J42" s="14"/>
      <c r="K42" s="14"/>
      <c r="L42" s="36"/>
      <c r="M42" s="36"/>
    </row>
    <row r="43" spans="2:15" ht="29.25" customHeight="1" thickBot="1">
      <c r="B43" s="166" t="s">
        <v>154</v>
      </c>
      <c r="C43" s="232">
        <f>C41-C42</f>
        <v>-462918.87609999953</v>
      </c>
      <c r="D43" s="233"/>
      <c r="E43" s="234">
        <f>E41-E42</f>
        <v>-95533.636099999771</v>
      </c>
      <c r="F43" s="235"/>
      <c r="G43" s="234">
        <f>G41-G42</f>
        <v>-367385.24</v>
      </c>
      <c r="H43" s="236"/>
      <c r="I43" s="157"/>
      <c r="J43" s="157"/>
      <c r="K43" s="15"/>
      <c r="L43" s="36"/>
      <c r="M43" s="36"/>
    </row>
    <row r="44" spans="2:15" ht="32.25" customHeight="1">
      <c r="B44" s="55" t="s">
        <v>78</v>
      </c>
      <c r="C44" s="237" t="s">
        <v>157</v>
      </c>
      <c r="D44" s="237"/>
      <c r="E44" s="237"/>
      <c r="F44" s="252" t="s">
        <v>13</v>
      </c>
      <c r="G44" s="252"/>
      <c r="H44" s="150"/>
      <c r="I44" s="183"/>
      <c r="J44" s="3"/>
      <c r="K44" s="3"/>
      <c r="L44" s="3"/>
      <c r="M44" s="3"/>
      <c r="N44" s="304"/>
      <c r="O44" s="304"/>
    </row>
    <row r="45" spans="2:15" ht="8.25" customHeight="1">
      <c r="B45" s="55"/>
      <c r="C45" s="56"/>
      <c r="D45" s="56"/>
      <c r="E45" s="220"/>
      <c r="F45" s="253"/>
      <c r="G45" s="253"/>
      <c r="H45" s="55"/>
      <c r="I45" s="55"/>
      <c r="J45" s="3"/>
      <c r="K45" s="3"/>
      <c r="L45" s="3"/>
      <c r="M45" s="3"/>
      <c r="N45" s="304"/>
      <c r="O45" s="304"/>
    </row>
    <row r="46" spans="2:15">
      <c r="B46" s="55" t="s">
        <v>79</v>
      </c>
      <c r="C46" s="237" t="s">
        <v>157</v>
      </c>
      <c r="D46" s="237"/>
      <c r="E46" s="237"/>
      <c r="F46" s="252" t="s">
        <v>94</v>
      </c>
      <c r="G46" s="252"/>
      <c r="H46" s="55"/>
      <c r="I46" s="55"/>
      <c r="J46" s="3"/>
      <c r="K46" s="3"/>
      <c r="L46" s="3"/>
      <c r="M46" s="3"/>
      <c r="N46" s="304"/>
      <c r="O46" s="304"/>
    </row>
    <row r="47" spans="2:15" ht="8.25" customHeight="1">
      <c r="B47" s="55"/>
      <c r="C47" s="56"/>
      <c r="D47" s="56"/>
      <c r="E47" s="220"/>
      <c r="F47" s="252"/>
      <c r="G47" s="252"/>
      <c r="H47" s="55"/>
      <c r="I47" s="55"/>
    </row>
    <row r="48" spans="2:15">
      <c r="B48" s="55" t="s">
        <v>80</v>
      </c>
      <c r="C48" s="237" t="s">
        <v>158</v>
      </c>
      <c r="D48" s="237"/>
      <c r="E48" s="237"/>
      <c r="F48" s="252" t="s">
        <v>96</v>
      </c>
      <c r="G48" s="252"/>
      <c r="H48" s="55"/>
      <c r="I48" s="55"/>
    </row>
    <row r="49" spans="2:9" ht="8.25" customHeight="1">
      <c r="B49" s="57"/>
      <c r="C49" s="58"/>
      <c r="D49" s="58"/>
      <c r="E49" s="220"/>
      <c r="F49" s="59"/>
      <c r="G49" s="57"/>
      <c r="H49" s="60"/>
      <c r="I49" s="8"/>
    </row>
    <row r="50" spans="2:9">
      <c r="B50" s="55" t="s">
        <v>81</v>
      </c>
      <c r="C50" s="237" t="s">
        <v>158</v>
      </c>
      <c r="D50" s="237"/>
      <c r="E50" s="237"/>
      <c r="F50" s="252" t="s">
        <v>96</v>
      </c>
      <c r="G50" s="252"/>
    </row>
    <row r="51" spans="2:9" ht="9" customHeight="1">
      <c r="B51" s="11"/>
      <c r="C51" s="11"/>
      <c r="D51" s="11"/>
      <c r="E51" s="220"/>
      <c r="F51" s="297"/>
      <c r="G51" s="297"/>
    </row>
    <row r="52" spans="2:9">
      <c r="C52" s="17"/>
      <c r="E52" s="210"/>
    </row>
    <row r="53" spans="2:9">
      <c r="C53" s="17"/>
    </row>
    <row r="54" spans="2:9">
      <c r="C54" s="17"/>
    </row>
    <row r="55" spans="2:9">
      <c r="C55" s="17"/>
    </row>
    <row r="56" spans="2:9">
      <c r="C56" s="17"/>
    </row>
    <row r="57" spans="2:9">
      <c r="C57" s="17"/>
    </row>
    <row r="58" spans="2:9">
      <c r="C58" s="17"/>
    </row>
    <row r="59" spans="2:9">
      <c r="C59" s="17"/>
    </row>
    <row r="60" spans="2:9">
      <c r="C60" s="17"/>
    </row>
    <row r="61" spans="2:9">
      <c r="C61" s="17"/>
    </row>
    <row r="62" spans="2:9">
      <c r="C62" s="17"/>
    </row>
    <row r="63" spans="2:9">
      <c r="C63" s="17"/>
    </row>
    <row r="64" spans="2: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</sheetData>
  <mergeCells count="58">
    <mergeCell ref="F48:G48"/>
    <mergeCell ref="F46:G46"/>
    <mergeCell ref="G42:H42"/>
    <mergeCell ref="G43:H43"/>
    <mergeCell ref="C50:E50"/>
    <mergeCell ref="C41:D41"/>
    <mergeCell ref="C42:D42"/>
    <mergeCell ref="C43:D43"/>
    <mergeCell ref="B16:H16"/>
    <mergeCell ref="B38:H38"/>
    <mergeCell ref="O23:O24"/>
    <mergeCell ref="C44:E44"/>
    <mergeCell ref="C46:E46"/>
    <mergeCell ref="N23:N24"/>
    <mergeCell ref="C17:D17"/>
    <mergeCell ref="E17:F17"/>
    <mergeCell ref="G17:H17"/>
    <mergeCell ref="C18:D18"/>
    <mergeCell ref="E18:F18"/>
    <mergeCell ref="G18:H18"/>
    <mergeCell ref="E21:F21"/>
    <mergeCell ref="G21:H21"/>
    <mergeCell ref="C39:D39"/>
    <mergeCell ref="C19:D19"/>
    <mergeCell ref="E19:F19"/>
    <mergeCell ref="C40:D40"/>
    <mergeCell ref="F51:G51"/>
    <mergeCell ref="G39:H39"/>
    <mergeCell ref="B23:H23"/>
    <mergeCell ref="B24:B25"/>
    <mergeCell ref="C24:C25"/>
    <mergeCell ref="D24:D25"/>
    <mergeCell ref="E24:E25"/>
    <mergeCell ref="F24:G24"/>
    <mergeCell ref="F50:G50"/>
    <mergeCell ref="F44:G44"/>
    <mergeCell ref="E42:F42"/>
    <mergeCell ref="E40:F40"/>
    <mergeCell ref="F47:G47"/>
    <mergeCell ref="E41:F41"/>
    <mergeCell ref="F45:G45"/>
    <mergeCell ref="C48:E48"/>
    <mergeCell ref="B1:H1"/>
    <mergeCell ref="B2:H2"/>
    <mergeCell ref="B3:H3"/>
    <mergeCell ref="B4:H4"/>
    <mergeCell ref="E43:F43"/>
    <mergeCell ref="H24:H25"/>
    <mergeCell ref="D8:E8"/>
    <mergeCell ref="G40:H40"/>
    <mergeCell ref="G41:H41"/>
    <mergeCell ref="B5:H6"/>
    <mergeCell ref="E39:F39"/>
    <mergeCell ref="G19:H19"/>
    <mergeCell ref="C20:D20"/>
    <mergeCell ref="E20:F20"/>
    <mergeCell ref="G20:H20"/>
    <mergeCell ref="C21:D21"/>
  </mergeCells>
  <printOptions horizontalCentered="1"/>
  <pageMargins left="0.19685039370078741" right="0.19685039370078741" top="0.15748031496062992" bottom="0.23622047244094491" header="0.16" footer="0.24"/>
  <pageSetup paperSize="9"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R73"/>
  <sheetViews>
    <sheetView topLeftCell="C13" zoomScale="110" zoomScaleNormal="110" workbookViewId="0">
      <selection activeCell="L13" sqref="L1:R1048576"/>
    </sheetView>
  </sheetViews>
  <sheetFormatPr defaultColWidth="9.140625" defaultRowHeight="15.75" outlineLevelRow="1"/>
  <cols>
    <col min="1" max="1" width="2.85546875" style="1" customWidth="1"/>
    <col min="2" max="2" width="55.7109375" style="1" customWidth="1"/>
    <col min="3" max="3" width="14.5703125" style="4" customWidth="1"/>
    <col min="4" max="4" width="9.28515625" style="4" customWidth="1"/>
    <col min="5" max="5" width="9.42578125" style="4" customWidth="1"/>
    <col min="6" max="6" width="10.42578125" style="1" customWidth="1"/>
    <col min="7" max="7" width="10.28515625" style="1" customWidth="1"/>
    <col min="8" max="8" width="11" style="1" customWidth="1"/>
    <col min="9" max="9" width="16.7109375" style="1" customWidth="1"/>
    <col min="10" max="10" width="16.140625" style="1" customWidth="1"/>
    <col min="11" max="11" width="9.140625" style="1"/>
    <col min="12" max="12" width="9.140625" style="298"/>
    <col min="13" max="13" width="14.140625" style="298" customWidth="1"/>
    <col min="14" max="14" width="14.85546875" style="298" customWidth="1"/>
    <col min="15" max="18" width="9.140625" style="298"/>
    <col min="19" max="16384" width="9.140625" style="1"/>
  </cols>
  <sheetData>
    <row r="1" spans="2:10">
      <c r="B1" s="221" t="s">
        <v>126</v>
      </c>
      <c r="C1" s="221"/>
      <c r="D1" s="221"/>
      <c r="E1" s="221"/>
      <c r="F1" s="221"/>
      <c r="G1" s="221"/>
      <c r="H1" s="221"/>
    </row>
    <row r="2" spans="2:10">
      <c r="B2" s="221" t="s">
        <v>127</v>
      </c>
      <c r="C2" s="221"/>
      <c r="D2" s="221"/>
      <c r="E2" s="221"/>
      <c r="F2" s="221"/>
      <c r="G2" s="221"/>
      <c r="H2" s="221"/>
    </row>
    <row r="3" spans="2:10">
      <c r="B3" s="221" t="s">
        <v>176</v>
      </c>
      <c r="C3" s="221"/>
      <c r="D3" s="221"/>
      <c r="E3" s="221"/>
      <c r="F3" s="221"/>
      <c r="G3" s="221"/>
      <c r="H3" s="221"/>
    </row>
    <row r="4" spans="2:10">
      <c r="B4" s="221" t="s">
        <v>191</v>
      </c>
      <c r="C4" s="221"/>
      <c r="D4" s="221"/>
      <c r="E4" s="221"/>
      <c r="F4" s="221"/>
      <c r="G4" s="221"/>
      <c r="H4" s="221"/>
    </row>
    <row r="5" spans="2:10" ht="19.5" customHeight="1">
      <c r="B5" s="238" t="s">
        <v>184</v>
      </c>
      <c r="C5" s="238"/>
      <c r="D5" s="238"/>
      <c r="E5" s="238"/>
      <c r="F5" s="238"/>
      <c r="G5" s="238"/>
      <c r="H5" s="238"/>
      <c r="I5" s="219"/>
      <c r="J5" s="219"/>
    </row>
    <row r="6" spans="2:10" ht="20.25" customHeight="1">
      <c r="B6" s="238"/>
      <c r="C6" s="238"/>
      <c r="D6" s="238"/>
      <c r="E6" s="238"/>
      <c r="F6" s="238"/>
      <c r="G6" s="238"/>
      <c r="H6" s="238"/>
      <c r="I6" s="219"/>
      <c r="J6" s="219"/>
    </row>
    <row r="7" spans="2:10" ht="8.25" customHeight="1"/>
    <row r="8" spans="2:10">
      <c r="B8" s="176" t="s">
        <v>0</v>
      </c>
      <c r="C8" s="185"/>
      <c r="D8" s="245" t="s">
        <v>69</v>
      </c>
      <c r="E8" s="245"/>
    </row>
    <row r="9" spans="2:10">
      <c r="B9" s="176" t="s">
        <v>1</v>
      </c>
      <c r="C9" s="185"/>
      <c r="D9" s="208">
        <v>1971</v>
      </c>
      <c r="E9" s="208"/>
    </row>
    <row r="10" spans="2:10" hidden="1" outlineLevel="1">
      <c r="B10" s="176" t="s">
        <v>2</v>
      </c>
      <c r="C10" s="185"/>
      <c r="D10" s="208">
        <v>4</v>
      </c>
      <c r="E10" s="208"/>
    </row>
    <row r="11" spans="2:10" hidden="1" outlineLevel="1">
      <c r="B11" s="176" t="s">
        <v>3</v>
      </c>
      <c r="C11" s="185"/>
      <c r="D11" s="208">
        <v>33</v>
      </c>
      <c r="E11" s="208"/>
    </row>
    <row r="12" spans="2:10" ht="30.75" hidden="1" customHeight="1" outlineLevel="1">
      <c r="B12" s="178" t="s">
        <v>4</v>
      </c>
      <c r="C12" s="186"/>
      <c r="D12" s="208" t="s">
        <v>70</v>
      </c>
      <c r="E12" s="208"/>
    </row>
    <row r="13" spans="2:10" collapsed="1">
      <c r="B13" s="176" t="s">
        <v>5</v>
      </c>
      <c r="C13" s="185"/>
      <c r="D13" s="208" t="s">
        <v>136</v>
      </c>
      <c r="E13" s="208"/>
    </row>
    <row r="14" spans="2:10" hidden="1" outlineLevel="1">
      <c r="B14" s="1" t="s">
        <v>6</v>
      </c>
      <c r="D14" s="169" t="s">
        <v>71</v>
      </c>
      <c r="E14" s="169"/>
    </row>
    <row r="15" spans="2:10" ht="30.75" hidden="1" customHeight="1" outlineLevel="1">
      <c r="B15" s="18" t="s">
        <v>8</v>
      </c>
      <c r="C15" s="77"/>
      <c r="D15" s="209" t="s">
        <v>72</v>
      </c>
      <c r="E15" s="169"/>
    </row>
    <row r="16" spans="2:10" ht="16.5" collapsed="1" thickBot="1">
      <c r="B16" s="250" t="s">
        <v>182</v>
      </c>
      <c r="C16" s="250"/>
      <c r="D16" s="250"/>
      <c r="E16" s="250"/>
      <c r="F16" s="250"/>
      <c r="G16" s="250"/>
      <c r="H16" s="250"/>
    </row>
    <row r="17" spans="2:14" ht="41.2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</row>
    <row r="18" spans="2:14">
      <c r="B18" s="163" t="s">
        <v>11</v>
      </c>
      <c r="C18" s="222">
        <v>1585360.13</v>
      </c>
      <c r="D18" s="223"/>
      <c r="E18" s="228">
        <v>1128134.47</v>
      </c>
      <c r="F18" s="260"/>
      <c r="G18" s="228">
        <v>457225.66</v>
      </c>
      <c r="H18" s="229"/>
    </row>
    <row r="19" spans="2:14">
      <c r="B19" s="164" t="s">
        <v>12</v>
      </c>
      <c r="C19" s="224">
        <v>1544397.91</v>
      </c>
      <c r="D19" s="225"/>
      <c r="E19" s="224">
        <v>1098901.8899999999</v>
      </c>
      <c r="F19" s="261"/>
      <c r="G19" s="224">
        <v>445496.02</v>
      </c>
      <c r="H19" s="262"/>
    </row>
    <row r="20" spans="2:14" ht="16.5" thickBot="1">
      <c r="B20" s="165" t="s">
        <v>89</v>
      </c>
      <c r="C20" s="226">
        <v>1549045.5629</v>
      </c>
      <c r="D20" s="227"/>
      <c r="E20" s="254">
        <v>1133364.5629</v>
      </c>
      <c r="F20" s="256"/>
      <c r="G20" s="254">
        <v>415681</v>
      </c>
      <c r="H20" s="255"/>
    </row>
    <row r="21" spans="2:14" ht="36.75" thickBot="1">
      <c r="B21" s="166" t="s">
        <v>153</v>
      </c>
      <c r="C21" s="232">
        <f>E21+G21</f>
        <v>-4647.6529000001028</v>
      </c>
      <c r="D21" s="233"/>
      <c r="E21" s="234">
        <f>E19-E20</f>
        <v>-34462.672900000121</v>
      </c>
      <c r="F21" s="235"/>
      <c r="G21" s="234">
        <f>G19-G20</f>
        <v>29815.020000000019</v>
      </c>
      <c r="H21" s="236"/>
    </row>
    <row r="22" spans="2:14">
      <c r="B22" s="18"/>
      <c r="C22" s="77"/>
      <c r="D22" s="209"/>
      <c r="E22" s="169"/>
    </row>
    <row r="23" spans="2:14" ht="35.25" customHeight="1" thickBot="1">
      <c r="B23" s="247" t="s">
        <v>185</v>
      </c>
      <c r="C23" s="247"/>
      <c r="D23" s="247"/>
      <c r="E23" s="247"/>
      <c r="F23" s="247"/>
      <c r="G23" s="247"/>
      <c r="H23" s="247"/>
      <c r="I23" s="151"/>
      <c r="J23" s="151"/>
      <c r="L23" s="311"/>
      <c r="M23" s="299" t="s">
        <v>155</v>
      </c>
      <c r="N23" s="299" t="s">
        <v>156</v>
      </c>
    </row>
    <row r="24" spans="2:14" ht="37.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I24" s="152"/>
      <c r="J24" s="152"/>
      <c r="L24" s="311"/>
      <c r="M24" s="300"/>
      <c r="N24" s="300"/>
    </row>
    <row r="25" spans="2:14" ht="41.2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I25" s="152"/>
      <c r="J25" s="152"/>
      <c r="M25" s="301">
        <v>177640.01</v>
      </c>
      <c r="N25" s="301">
        <f>177640.01*1.01</f>
        <v>179416.41010000001</v>
      </c>
    </row>
    <row r="26" spans="2:14" ht="38.25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18773.520498504491</v>
      </c>
      <c r="G26" s="27">
        <f>$N$25/$N$26*E26</f>
        <v>18961.255703489533</v>
      </c>
      <c r="H26" s="28">
        <f>F26-G26</f>
        <v>-187.73520498504149</v>
      </c>
      <c r="I26" s="153"/>
      <c r="J26" s="153"/>
      <c r="K26" s="207"/>
      <c r="L26" s="312"/>
      <c r="M26" s="303">
        <f>E36-E34</f>
        <v>10.029999999999999</v>
      </c>
      <c r="N26" s="303">
        <f>E36-E34</f>
        <v>10.029999999999999</v>
      </c>
    </row>
    <row r="27" spans="2:14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5" si="0">$M$25/$M$26*E27</f>
        <v>21075.933389830512</v>
      </c>
      <c r="G27" s="27">
        <f t="shared" ref="G27:G28" si="1">$N$25/$N$26*E27</f>
        <v>21286.692723728815</v>
      </c>
      <c r="H27" s="28">
        <f t="shared" ref="H27:H33" si="2">F27-G27</f>
        <v>-210.75933389830243</v>
      </c>
      <c r="I27" s="153"/>
      <c r="J27" s="153"/>
      <c r="K27" s="3"/>
      <c r="L27" s="304"/>
      <c r="M27" s="304"/>
      <c r="N27" s="304"/>
    </row>
    <row r="28" spans="2:14" ht="27.75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5667.4778863409783</v>
      </c>
      <c r="G28" s="27">
        <f t="shared" si="1"/>
        <v>5724.1526652043876</v>
      </c>
      <c r="H28" s="28">
        <f t="shared" si="2"/>
        <v>-56.674778863409301</v>
      </c>
      <c r="I28" s="153"/>
      <c r="J28" s="153"/>
      <c r="L28" s="311"/>
    </row>
    <row r="29" spans="2:14" ht="25.5">
      <c r="B29" s="35" t="s">
        <v>85</v>
      </c>
      <c r="C29" s="37" t="s">
        <v>101</v>
      </c>
      <c r="D29" s="24" t="s">
        <v>100</v>
      </c>
      <c r="E29" s="32">
        <v>0.23</v>
      </c>
      <c r="F29" s="26">
        <f t="shared" si="0"/>
        <v>4073.4997308075781</v>
      </c>
      <c r="G29" s="27">
        <f t="shared" ref="G29:G32" si="3">$N$25/$N$26*E29</f>
        <v>4114.2347281156535</v>
      </c>
      <c r="H29" s="28">
        <f t="shared" si="2"/>
        <v>-40.734997308075435</v>
      </c>
      <c r="I29" s="153"/>
      <c r="J29" s="153"/>
      <c r="L29" s="311"/>
    </row>
    <row r="30" spans="2:14">
      <c r="B30" s="35" t="s">
        <v>179</v>
      </c>
      <c r="C30" s="189" t="s">
        <v>180</v>
      </c>
      <c r="D30" s="24" t="s">
        <v>100</v>
      </c>
      <c r="E30" s="32"/>
      <c r="F30" s="26"/>
      <c r="G30" s="27"/>
      <c r="H30" s="28">
        <f t="shared" si="2"/>
        <v>0</v>
      </c>
      <c r="I30" s="153"/>
      <c r="J30" s="153"/>
      <c r="L30" s="311"/>
    </row>
    <row r="31" spans="2:14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20898.824705882354</v>
      </c>
      <c r="G31" s="27">
        <f t="shared" si="3"/>
        <v>21107.812952941178</v>
      </c>
      <c r="H31" s="28">
        <f t="shared" si="2"/>
        <v>-208.98824705882362</v>
      </c>
      <c r="I31" s="153"/>
      <c r="J31" s="153"/>
    </row>
    <row r="32" spans="2:14" ht="220.5" customHeight="1">
      <c r="B32" s="31" t="s">
        <v>128</v>
      </c>
      <c r="C32" s="23" t="s">
        <v>102</v>
      </c>
      <c r="D32" s="24" t="s">
        <v>100</v>
      </c>
      <c r="E32" s="32">
        <v>5.61</v>
      </c>
      <c r="F32" s="26">
        <f t="shared" si="0"/>
        <v>99357.971694915279</v>
      </c>
      <c r="G32" s="27">
        <f t="shared" si="3"/>
        <v>100351.55141186442</v>
      </c>
      <c r="H32" s="28">
        <f t="shared" si="2"/>
        <v>-993.57971694914158</v>
      </c>
      <c r="I32" s="153"/>
      <c r="J32" s="153"/>
      <c r="K32" s="3"/>
      <c r="L32" s="313"/>
      <c r="M32" s="304"/>
      <c r="N32" s="304"/>
    </row>
    <row r="33" spans="2:14" ht="104.25" customHeight="1">
      <c r="B33" s="31" t="s">
        <v>104</v>
      </c>
      <c r="C33" s="23" t="s">
        <v>99</v>
      </c>
      <c r="D33" s="24" t="s">
        <v>100</v>
      </c>
      <c r="E33" s="32">
        <v>0.24</v>
      </c>
      <c r="F33" s="26">
        <f t="shared" si="0"/>
        <v>4250.6084147557331</v>
      </c>
      <c r="G33" s="27">
        <f t="shared" ref="G33" si="4">$N$25/$N$26*E33</f>
        <v>4293.11449890329</v>
      </c>
      <c r="H33" s="28">
        <f t="shared" si="2"/>
        <v>-42.506084147556976</v>
      </c>
      <c r="I33" s="153"/>
      <c r="J33" s="153"/>
    </row>
    <row r="34" spans="2:14" ht="27.75" customHeight="1">
      <c r="B34" s="35" t="s">
        <v>92</v>
      </c>
      <c r="C34" s="23" t="s">
        <v>99</v>
      </c>
      <c r="D34" s="24" t="s">
        <v>100</v>
      </c>
      <c r="E34" s="32">
        <v>4.82</v>
      </c>
      <c r="F34" s="26">
        <v>85366.39</v>
      </c>
      <c r="G34" s="33">
        <v>60155</v>
      </c>
      <c r="H34" s="28">
        <f>F34-G34</f>
        <v>25211.39</v>
      </c>
      <c r="I34" s="153"/>
      <c r="J34" s="153"/>
      <c r="L34" s="311"/>
    </row>
    <row r="35" spans="2:14" ht="16.5" thickBot="1">
      <c r="B35" s="66" t="s">
        <v>86</v>
      </c>
      <c r="C35" s="39" t="s">
        <v>102</v>
      </c>
      <c r="D35" s="40" t="s">
        <v>100</v>
      </c>
      <c r="E35" s="41">
        <v>0.2</v>
      </c>
      <c r="F35" s="26">
        <f t="shared" si="0"/>
        <v>3542.1736789631113</v>
      </c>
      <c r="G35" s="27">
        <f t="shared" ref="G35" si="5">$N$25/$N$26*E35</f>
        <v>3577.5954157527422</v>
      </c>
      <c r="H35" s="28">
        <f>F35-G35</f>
        <v>-35.421736789630813</v>
      </c>
      <c r="I35" s="153"/>
      <c r="J35" s="153"/>
    </row>
    <row r="36" spans="2:14" ht="16.5" thickBot="1">
      <c r="B36" s="42" t="s">
        <v>90</v>
      </c>
      <c r="C36" s="43"/>
      <c r="D36" s="43"/>
      <c r="E36" s="44">
        <f>SUM(E26:E35)</f>
        <v>14.85</v>
      </c>
      <c r="F36" s="45">
        <f>SUM(F26:F35)</f>
        <v>263006.40000000002</v>
      </c>
      <c r="G36" s="46">
        <f>SUM(G26:G35)</f>
        <v>239571.41009999998</v>
      </c>
      <c r="H36" s="47">
        <f>SUM(H26:H35)</f>
        <v>23434.989900000019</v>
      </c>
      <c r="I36" s="154"/>
      <c r="J36" s="154"/>
    </row>
    <row r="37" spans="2:14">
      <c r="B37" s="7"/>
      <c r="C37" s="7"/>
      <c r="D37" s="7"/>
      <c r="E37" s="17"/>
      <c r="F37" s="17"/>
      <c r="G37" s="17"/>
      <c r="H37" s="4"/>
      <c r="I37" s="4"/>
      <c r="J37" s="4"/>
    </row>
    <row r="38" spans="2:14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155"/>
      <c r="J38" s="155"/>
    </row>
    <row r="39" spans="2:14" ht="53.25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70"/>
      <c r="J39" s="171"/>
      <c r="K39" s="49"/>
      <c r="L39" s="314"/>
      <c r="M39" s="305"/>
      <c r="N39" s="305"/>
    </row>
    <row r="40" spans="2:14" ht="21" customHeight="1">
      <c r="B40" s="163" t="s">
        <v>11</v>
      </c>
      <c r="C40" s="228">
        <f>E40+G40</f>
        <v>1848366.5299999998</v>
      </c>
      <c r="D40" s="260"/>
      <c r="E40" s="228">
        <f>F26+F27+F28+F29+F31+F32+F33+F35+E18</f>
        <v>1305774.48</v>
      </c>
      <c r="F40" s="260"/>
      <c r="G40" s="228">
        <f>F34+G18</f>
        <v>542592.04999999993</v>
      </c>
      <c r="H40" s="229"/>
      <c r="I40" s="172"/>
      <c r="J40" s="173"/>
      <c r="K40" s="52"/>
      <c r="L40" s="309"/>
      <c r="M40" s="306"/>
    </row>
    <row r="41" spans="2:14">
      <c r="B41" s="164" t="s">
        <v>12</v>
      </c>
      <c r="C41" s="224">
        <f>E41+G41</f>
        <v>1780254.3899999997</v>
      </c>
      <c r="D41" s="261"/>
      <c r="E41" s="224">
        <f>E19+159302.39</f>
        <v>1258204.2799999998</v>
      </c>
      <c r="F41" s="261"/>
      <c r="G41" s="224">
        <f>G19+76554.09</f>
        <v>522050.11</v>
      </c>
      <c r="H41" s="262"/>
      <c r="I41" s="172"/>
      <c r="J41" s="174"/>
      <c r="K41" s="54"/>
      <c r="L41" s="309"/>
      <c r="M41" s="306"/>
    </row>
    <row r="42" spans="2:14" ht="16.5" thickBot="1">
      <c r="B42" s="165" t="s">
        <v>89</v>
      </c>
      <c r="C42" s="254">
        <f>E42+G42</f>
        <v>1788616.973</v>
      </c>
      <c r="D42" s="256"/>
      <c r="E42" s="254">
        <f>G26+G27+G28+G29+G31+G32+G33+G35+E20</f>
        <v>1312780.973</v>
      </c>
      <c r="F42" s="256"/>
      <c r="G42" s="254">
        <f>G34+G20</f>
        <v>475836</v>
      </c>
      <c r="H42" s="255"/>
      <c r="I42" s="172"/>
      <c r="J42" s="51"/>
      <c r="K42" s="36"/>
      <c r="L42" s="315"/>
    </row>
    <row r="43" spans="2:14" ht="30.75" customHeight="1" thickBot="1">
      <c r="B43" s="166" t="s">
        <v>154</v>
      </c>
      <c r="C43" s="232">
        <f>E43+G43</f>
        <v>-8362.583000000217</v>
      </c>
      <c r="D43" s="233"/>
      <c r="E43" s="234">
        <f>E41-E42</f>
        <v>-54576.693000000203</v>
      </c>
      <c r="F43" s="235"/>
      <c r="G43" s="234">
        <f>G41-G42</f>
        <v>46214.109999999986</v>
      </c>
      <c r="H43" s="236"/>
      <c r="I43" s="175"/>
      <c r="J43" s="159"/>
      <c r="K43" s="36"/>
      <c r="L43" s="315"/>
    </row>
    <row r="44" spans="2:14" ht="15" customHeight="1">
      <c r="B44" s="82"/>
      <c r="C44" s="157"/>
      <c r="D44" s="157"/>
      <c r="E44" s="159"/>
      <c r="F44" s="159"/>
      <c r="G44" s="159"/>
      <c r="H44" s="159"/>
      <c r="I44" s="211"/>
      <c r="J44" s="211"/>
      <c r="K44" s="3"/>
      <c r="L44" s="304"/>
      <c r="M44" s="304"/>
      <c r="N44" s="304"/>
    </row>
    <row r="45" spans="2:14" ht="16.5" customHeight="1">
      <c r="B45" s="55" t="s">
        <v>78</v>
      </c>
      <c r="C45" s="237" t="s">
        <v>157</v>
      </c>
      <c r="D45" s="237"/>
      <c r="E45" s="237"/>
      <c r="F45" s="252" t="s">
        <v>13</v>
      </c>
      <c r="G45" s="252"/>
      <c r="H45" s="55"/>
      <c r="I45" s="212"/>
      <c r="J45" s="212"/>
      <c r="K45" s="3"/>
      <c r="L45" s="304"/>
      <c r="M45" s="304"/>
      <c r="N45" s="304"/>
    </row>
    <row r="46" spans="2:14" ht="9.75" customHeight="1">
      <c r="B46" s="55"/>
      <c r="C46" s="56"/>
      <c r="D46" s="56"/>
      <c r="E46" s="220"/>
      <c r="F46" s="253"/>
      <c r="G46" s="253"/>
      <c r="H46" s="55"/>
      <c r="I46" s="211"/>
      <c r="J46" s="211"/>
      <c r="K46" s="3"/>
      <c r="L46" s="304"/>
      <c r="M46" s="304"/>
      <c r="N46" s="304"/>
    </row>
    <row r="47" spans="2:14" ht="15" customHeight="1">
      <c r="B47" s="55" t="s">
        <v>79</v>
      </c>
      <c r="C47" s="237" t="s">
        <v>157</v>
      </c>
      <c r="D47" s="237"/>
      <c r="E47" s="237"/>
      <c r="F47" s="252" t="s">
        <v>94</v>
      </c>
      <c r="G47" s="252"/>
      <c r="H47" s="55"/>
      <c r="I47" s="211"/>
      <c r="J47" s="211"/>
    </row>
    <row r="48" spans="2:14" ht="8.25" customHeight="1">
      <c r="B48" s="55"/>
      <c r="C48" s="56"/>
      <c r="D48" s="56"/>
      <c r="E48" s="220"/>
      <c r="F48" s="252"/>
      <c r="G48" s="252"/>
      <c r="H48" s="55"/>
      <c r="I48" s="211"/>
      <c r="J48" s="211"/>
    </row>
    <row r="49" spans="2:10" ht="14.25" customHeight="1">
      <c r="B49" s="55" t="s">
        <v>80</v>
      </c>
      <c r="C49" s="237" t="s">
        <v>158</v>
      </c>
      <c r="D49" s="237"/>
      <c r="E49" s="237"/>
      <c r="F49" s="252" t="s">
        <v>96</v>
      </c>
      <c r="G49" s="252"/>
      <c r="H49" s="55"/>
      <c r="I49" s="60"/>
      <c r="J49" s="60"/>
    </row>
    <row r="50" spans="2:10" ht="9" customHeight="1">
      <c r="B50" s="57"/>
      <c r="C50" s="58"/>
      <c r="D50" s="58"/>
      <c r="E50" s="220"/>
      <c r="F50" s="59"/>
      <c r="G50" s="57"/>
      <c r="H50" s="60"/>
    </row>
    <row r="51" spans="2:10" ht="15" customHeight="1">
      <c r="B51" s="55" t="s">
        <v>81</v>
      </c>
      <c r="C51" s="237" t="s">
        <v>158</v>
      </c>
      <c r="D51" s="237"/>
      <c r="E51" s="237"/>
      <c r="F51" s="252" t="s">
        <v>96</v>
      </c>
      <c r="G51" s="252"/>
      <c r="H51" s="55"/>
    </row>
    <row r="52" spans="2:10">
      <c r="B52" s="11"/>
      <c r="C52" s="73"/>
      <c r="D52" s="74"/>
      <c r="E52" s="220"/>
      <c r="F52" s="11"/>
      <c r="G52" s="11"/>
    </row>
    <row r="53" spans="2:10">
      <c r="C53" s="17"/>
    </row>
    <row r="54" spans="2:10">
      <c r="C54" s="17"/>
    </row>
    <row r="55" spans="2:10">
      <c r="C55" s="17"/>
    </row>
    <row r="56" spans="2:10">
      <c r="C56" s="17"/>
    </row>
    <row r="57" spans="2:10">
      <c r="C57" s="17"/>
    </row>
    <row r="58" spans="2:10">
      <c r="C58" s="17"/>
    </row>
    <row r="59" spans="2:10">
      <c r="C59" s="17"/>
    </row>
    <row r="60" spans="2:10">
      <c r="C60" s="17"/>
    </row>
    <row r="61" spans="2:10">
      <c r="C61" s="17"/>
    </row>
    <row r="62" spans="2:10">
      <c r="C62" s="17"/>
    </row>
    <row r="63" spans="2:10">
      <c r="C63" s="17"/>
    </row>
    <row r="64" spans="2:10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</sheetData>
  <mergeCells count="57">
    <mergeCell ref="M23:M24"/>
    <mergeCell ref="N23:N24"/>
    <mergeCell ref="C39:D39"/>
    <mergeCell ref="C40:D40"/>
    <mergeCell ref="C41:D41"/>
    <mergeCell ref="E41:F41"/>
    <mergeCell ref="E39:F39"/>
    <mergeCell ref="E40:F40"/>
    <mergeCell ref="C24:C25"/>
    <mergeCell ref="G20:H20"/>
    <mergeCell ref="C21:D21"/>
    <mergeCell ref="E21:F21"/>
    <mergeCell ref="G21:H21"/>
    <mergeCell ref="C51:E51"/>
    <mergeCell ref="E43:F43"/>
    <mergeCell ref="F47:G47"/>
    <mergeCell ref="G43:H43"/>
    <mergeCell ref="F45:G45"/>
    <mergeCell ref="F46:G46"/>
    <mergeCell ref="F49:G49"/>
    <mergeCell ref="C42:D42"/>
    <mergeCell ref="C43:D43"/>
    <mergeCell ref="C45:E45"/>
    <mergeCell ref="C47:E47"/>
    <mergeCell ref="C49:E49"/>
    <mergeCell ref="B3:H3"/>
    <mergeCell ref="B4:H4"/>
    <mergeCell ref="E42:F42"/>
    <mergeCell ref="F48:G48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B2:H2"/>
    <mergeCell ref="F51:G51"/>
    <mergeCell ref="G42:H42"/>
    <mergeCell ref="B1:H1"/>
    <mergeCell ref="B5:H6"/>
    <mergeCell ref="D24:D25"/>
    <mergeCell ref="E24:E25"/>
    <mergeCell ref="F24:G24"/>
    <mergeCell ref="H24:H25"/>
    <mergeCell ref="G39:H39"/>
    <mergeCell ref="G40:H40"/>
    <mergeCell ref="G41:H41"/>
    <mergeCell ref="D8:E8"/>
    <mergeCell ref="B38:H38"/>
    <mergeCell ref="B23:H23"/>
    <mergeCell ref="B24:B25"/>
  </mergeCells>
  <printOptions horizontalCentered="1"/>
  <pageMargins left="0.19685039370078741" right="0.19685039370078741" top="0.15748031496062992" bottom="0.23622047244094491" header="0.31496062992125984" footer="0.25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3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4.28515625" style="64" customWidth="1"/>
    <col min="4" max="4" width="8.85546875" style="4" customWidth="1"/>
    <col min="5" max="5" width="9.85546875" style="4" customWidth="1"/>
    <col min="6" max="6" width="10.42578125" style="1" customWidth="1"/>
    <col min="7" max="8" width="10.28515625" style="1" customWidth="1"/>
    <col min="9" max="9" width="16.42578125" style="1" customWidth="1"/>
    <col min="10" max="10" width="14.7109375" style="1" customWidth="1"/>
    <col min="11" max="12" width="9.140625" style="1"/>
    <col min="13" max="13" width="18" style="298" customWidth="1"/>
    <col min="14" max="14" width="21.5703125" style="298" customWidth="1"/>
    <col min="15" max="15" width="11.42578125" style="1" customWidth="1"/>
    <col min="16" max="16384" width="9.140625" style="1"/>
  </cols>
  <sheetData>
    <row r="1" spans="1:9">
      <c r="B1" s="221" t="s">
        <v>126</v>
      </c>
      <c r="C1" s="221"/>
      <c r="D1" s="221"/>
      <c r="E1" s="221"/>
      <c r="F1" s="221"/>
      <c r="G1" s="221"/>
      <c r="H1" s="221"/>
    </row>
    <row r="2" spans="1:9">
      <c r="B2" s="221" t="s">
        <v>127</v>
      </c>
      <c r="C2" s="221"/>
      <c r="D2" s="221"/>
      <c r="E2" s="221"/>
      <c r="F2" s="221"/>
      <c r="G2" s="221"/>
      <c r="H2" s="221"/>
    </row>
    <row r="3" spans="1:9">
      <c r="B3" s="221" t="s">
        <v>160</v>
      </c>
      <c r="C3" s="221"/>
      <c r="D3" s="221"/>
      <c r="E3" s="221"/>
      <c r="F3" s="221"/>
      <c r="G3" s="221"/>
      <c r="H3" s="221"/>
    </row>
    <row r="4" spans="1:9">
      <c r="B4" s="221" t="s">
        <v>191</v>
      </c>
      <c r="C4" s="221"/>
      <c r="D4" s="221"/>
      <c r="E4" s="221"/>
      <c r="F4" s="221"/>
      <c r="G4" s="221"/>
      <c r="H4" s="221"/>
    </row>
    <row r="5" spans="1:9" ht="9" customHeight="1">
      <c r="B5" s="200"/>
      <c r="C5" s="200"/>
      <c r="D5" s="200"/>
      <c r="E5" s="200"/>
      <c r="F5" s="200"/>
      <c r="G5" s="200"/>
      <c r="H5" s="200"/>
    </row>
    <row r="6" spans="1:9" ht="15.75" customHeight="1">
      <c r="A6" s="16"/>
      <c r="B6" s="238" t="s">
        <v>184</v>
      </c>
      <c r="C6" s="238"/>
      <c r="D6" s="238"/>
      <c r="E6" s="238"/>
      <c r="F6" s="238"/>
      <c r="G6" s="238"/>
      <c r="H6" s="238"/>
    </row>
    <row r="7" spans="1:9" ht="24" customHeight="1">
      <c r="A7" s="16"/>
      <c r="B7" s="238"/>
      <c r="C7" s="238"/>
      <c r="D7" s="238"/>
      <c r="E7" s="238"/>
      <c r="F7" s="238"/>
      <c r="G7" s="238"/>
      <c r="H7" s="238"/>
    </row>
    <row r="8" spans="1:9" ht="7.5" customHeight="1"/>
    <row r="9" spans="1:9" ht="12" customHeight="1">
      <c r="B9" s="176" t="s">
        <v>0</v>
      </c>
      <c r="C9" s="180"/>
      <c r="D9" s="245" t="s">
        <v>17</v>
      </c>
      <c r="E9" s="245"/>
      <c r="F9" s="176"/>
    </row>
    <row r="10" spans="1:9" ht="15.75" customHeight="1">
      <c r="B10" s="176" t="s">
        <v>1</v>
      </c>
      <c r="C10" s="180"/>
      <c r="D10" s="201">
        <v>1971</v>
      </c>
      <c r="E10" s="201"/>
      <c r="F10" s="176"/>
    </row>
    <row r="11" spans="1:9" hidden="1" outlineLevel="1">
      <c r="B11" s="176" t="s">
        <v>2</v>
      </c>
      <c r="C11" s="180"/>
      <c r="D11" s="201">
        <v>4</v>
      </c>
      <c r="E11" s="201"/>
      <c r="F11" s="176"/>
    </row>
    <row r="12" spans="1:9" hidden="1" outlineLevel="1">
      <c r="B12" s="176" t="s">
        <v>3</v>
      </c>
      <c r="C12" s="180"/>
      <c r="D12" s="201">
        <v>64</v>
      </c>
      <c r="E12" s="201"/>
      <c r="F12" s="176"/>
    </row>
    <row r="13" spans="1:9" ht="30.75" hidden="1" customHeight="1" outlineLevel="1">
      <c r="B13" s="178" t="s">
        <v>4</v>
      </c>
      <c r="C13" s="181"/>
      <c r="D13" s="201" t="s">
        <v>18</v>
      </c>
      <c r="E13" s="201"/>
      <c r="F13" s="176"/>
    </row>
    <row r="14" spans="1:9" collapsed="1">
      <c r="B14" s="176" t="s">
        <v>5</v>
      </c>
      <c r="C14" s="180"/>
      <c r="D14" s="201" t="s">
        <v>131</v>
      </c>
      <c r="E14" s="201"/>
      <c r="F14" s="176"/>
      <c r="I14" s="7"/>
    </row>
    <row r="15" spans="1:9" hidden="1" outlineLevel="1">
      <c r="B15" s="1" t="s">
        <v>6</v>
      </c>
      <c r="D15" s="169" t="s">
        <v>7</v>
      </c>
      <c r="E15" s="169"/>
    </row>
    <row r="16" spans="1:9" ht="30.75" hidden="1" customHeight="1" outlineLevel="1">
      <c r="B16" s="18" t="s">
        <v>8</v>
      </c>
      <c r="C16" s="65"/>
      <c r="D16" s="202" t="s">
        <v>19</v>
      </c>
      <c r="E16" s="169"/>
      <c r="I16" s="7"/>
    </row>
    <row r="17" spans="2:14" ht="18" customHeight="1" collapsed="1" thickBot="1">
      <c r="B17" s="250" t="s">
        <v>182</v>
      </c>
      <c r="C17" s="250"/>
      <c r="D17" s="250"/>
      <c r="E17" s="250"/>
      <c r="F17" s="250"/>
      <c r="G17" s="250"/>
      <c r="H17" s="250"/>
      <c r="I17" s="7"/>
    </row>
    <row r="18" spans="2:14" ht="44.25" customHeight="1" thickBot="1">
      <c r="B18" s="193" t="s">
        <v>183</v>
      </c>
      <c r="C18" s="230" t="s">
        <v>103</v>
      </c>
      <c r="D18" s="231"/>
      <c r="E18" s="257" t="s">
        <v>9</v>
      </c>
      <c r="F18" s="258"/>
      <c r="G18" s="257" t="s">
        <v>10</v>
      </c>
      <c r="H18" s="259"/>
      <c r="I18" s="7"/>
    </row>
    <row r="19" spans="2:14" ht="18" customHeight="1">
      <c r="B19" s="163" t="s">
        <v>11</v>
      </c>
      <c r="C19" s="222">
        <v>2607080.46</v>
      </c>
      <c r="D19" s="223"/>
      <c r="E19" s="228">
        <v>1967486.62</v>
      </c>
      <c r="F19" s="260"/>
      <c r="G19" s="228">
        <v>639593.84</v>
      </c>
      <c r="H19" s="229"/>
      <c r="I19" s="7"/>
    </row>
    <row r="20" spans="2:14" ht="18" customHeight="1">
      <c r="B20" s="164" t="s">
        <v>12</v>
      </c>
      <c r="C20" s="224">
        <v>2456862.58</v>
      </c>
      <c r="D20" s="225"/>
      <c r="E20" s="224">
        <v>1853668.87</v>
      </c>
      <c r="F20" s="261"/>
      <c r="G20" s="224">
        <v>603193.71</v>
      </c>
      <c r="H20" s="262"/>
      <c r="I20" s="7"/>
    </row>
    <row r="21" spans="2:14" ht="18" customHeight="1" thickBot="1">
      <c r="B21" s="165" t="s">
        <v>89</v>
      </c>
      <c r="C21" s="226">
        <v>2569588.9632000001</v>
      </c>
      <c r="D21" s="227"/>
      <c r="E21" s="254">
        <v>1969573.9632000001</v>
      </c>
      <c r="F21" s="256"/>
      <c r="G21" s="254">
        <v>600015</v>
      </c>
      <c r="H21" s="255"/>
      <c r="I21" s="7"/>
    </row>
    <row r="22" spans="2:14" ht="32.25" customHeight="1" thickBot="1">
      <c r="B22" s="166" t="s">
        <v>153</v>
      </c>
      <c r="C22" s="232">
        <f>E22+G22</f>
        <v>-112726.38320000004</v>
      </c>
      <c r="D22" s="233"/>
      <c r="E22" s="234">
        <f>E20-E21</f>
        <v>-115905.0932</v>
      </c>
      <c r="F22" s="235"/>
      <c r="G22" s="234">
        <f>G20-G21</f>
        <v>3178.7099999999627</v>
      </c>
      <c r="H22" s="236"/>
      <c r="I22" s="7"/>
    </row>
    <row r="23" spans="2:14" ht="13.5" customHeight="1">
      <c r="B23" s="18"/>
      <c r="C23" s="65"/>
      <c r="D23" s="202"/>
      <c r="E23" s="169"/>
      <c r="I23" s="7"/>
    </row>
    <row r="24" spans="2:14" ht="29.25" customHeight="1" thickBot="1">
      <c r="B24" s="247" t="s">
        <v>185</v>
      </c>
      <c r="C24" s="247"/>
      <c r="D24" s="247"/>
      <c r="E24" s="247"/>
      <c r="F24" s="247"/>
      <c r="G24" s="247"/>
      <c r="H24" s="247"/>
      <c r="L24" s="7"/>
      <c r="M24" s="299" t="s">
        <v>155</v>
      </c>
      <c r="N24" s="299" t="s">
        <v>156</v>
      </c>
    </row>
    <row r="25" spans="2:14" ht="36.75" customHeight="1">
      <c r="B25" s="269" t="s">
        <v>95</v>
      </c>
      <c r="C25" s="271" t="s">
        <v>97</v>
      </c>
      <c r="D25" s="271" t="s">
        <v>113</v>
      </c>
      <c r="E25" s="248" t="s">
        <v>186</v>
      </c>
      <c r="F25" s="267" t="s">
        <v>98</v>
      </c>
      <c r="G25" s="268"/>
      <c r="H25" s="239" t="s">
        <v>129</v>
      </c>
      <c r="L25" s="7"/>
      <c r="M25" s="300"/>
      <c r="N25" s="300"/>
    </row>
    <row r="26" spans="2:14" ht="42.75" customHeight="1" thickBot="1">
      <c r="B26" s="270"/>
      <c r="C26" s="272"/>
      <c r="D26" s="272"/>
      <c r="E26" s="249"/>
      <c r="F26" s="20" t="s">
        <v>82</v>
      </c>
      <c r="G26" s="21" t="s">
        <v>83</v>
      </c>
      <c r="H26" s="240"/>
      <c r="M26" s="301">
        <v>311735.77</v>
      </c>
      <c r="N26" s="303">
        <f>311735.77*1.01</f>
        <v>314853.12770000001</v>
      </c>
    </row>
    <row r="27" spans="2:14" s="198" customFormat="1" ht="43.5" customHeight="1">
      <c r="B27" s="22" t="s">
        <v>87</v>
      </c>
      <c r="C27" s="23" t="s">
        <v>99</v>
      </c>
      <c r="D27" s="24" t="s">
        <v>100</v>
      </c>
      <c r="E27" s="25">
        <v>1.06</v>
      </c>
      <c r="F27" s="26">
        <f t="shared" ref="F27:F32" si="0">$M$26/$M$27*E27</f>
        <v>32491.633844641103</v>
      </c>
      <c r="G27" s="27">
        <f t="shared" ref="G27:G32" si="1">$N$26/$N$27*E27</f>
        <v>32816.550183087515</v>
      </c>
      <c r="H27" s="28">
        <f>F27-G27</f>
        <v>-324.91633844641183</v>
      </c>
      <c r="I27" s="29"/>
      <c r="L27" s="30"/>
      <c r="M27" s="303">
        <f>E36-E34</f>
        <v>10.17</v>
      </c>
      <c r="N27" s="303">
        <f>E36-E34</f>
        <v>10.17</v>
      </c>
    </row>
    <row r="28" spans="2:14" s="3" customFormat="1" ht="51">
      <c r="B28" s="31" t="s">
        <v>91</v>
      </c>
      <c r="C28" s="23" t="s">
        <v>99</v>
      </c>
      <c r="D28" s="24" t="s">
        <v>100</v>
      </c>
      <c r="E28" s="32">
        <v>1.19</v>
      </c>
      <c r="F28" s="26">
        <f t="shared" si="0"/>
        <v>36476.456863323503</v>
      </c>
      <c r="G28" s="27">
        <f t="shared" si="1"/>
        <v>36841.221431956736</v>
      </c>
      <c r="H28" s="28">
        <f t="shared" ref="H28:H33" si="2">F28-G28</f>
        <v>-364.76456863323256</v>
      </c>
      <c r="I28" s="34"/>
      <c r="M28" s="304"/>
      <c r="N28" s="304"/>
    </row>
    <row r="29" spans="2:14" ht="30" customHeight="1">
      <c r="B29" s="35" t="s">
        <v>84</v>
      </c>
      <c r="C29" s="23" t="s">
        <v>99</v>
      </c>
      <c r="D29" s="24" t="s">
        <v>100</v>
      </c>
      <c r="E29" s="32">
        <v>0.32</v>
      </c>
      <c r="F29" s="26">
        <f t="shared" si="0"/>
        <v>9808.795122910522</v>
      </c>
      <c r="G29" s="27">
        <f t="shared" si="1"/>
        <v>9906.8830741396268</v>
      </c>
      <c r="H29" s="28">
        <f t="shared" si="2"/>
        <v>-98.087951229104874</v>
      </c>
      <c r="I29" s="36"/>
      <c r="L29" s="7"/>
    </row>
    <row r="30" spans="2:14" ht="29.25" customHeight="1">
      <c r="B30" s="35" t="s">
        <v>85</v>
      </c>
      <c r="C30" s="37" t="s">
        <v>101</v>
      </c>
      <c r="D30" s="24" t="s">
        <v>100</v>
      </c>
      <c r="E30" s="32">
        <v>0.25</v>
      </c>
      <c r="F30" s="26">
        <f t="shared" si="0"/>
        <v>7663.1211897738449</v>
      </c>
      <c r="G30" s="27">
        <f t="shared" si="1"/>
        <v>7739.7524016715834</v>
      </c>
      <c r="H30" s="28">
        <f t="shared" si="2"/>
        <v>-76.631211897738467</v>
      </c>
      <c r="I30" s="36"/>
      <c r="L30" s="7"/>
    </row>
    <row r="31" spans="2:14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36169.932015732549</v>
      </c>
      <c r="G31" s="27">
        <f t="shared" si="1"/>
        <v>36531.63133588987</v>
      </c>
      <c r="H31" s="28">
        <f t="shared" si="2"/>
        <v>-361.69932015732047</v>
      </c>
      <c r="I31" s="36"/>
    </row>
    <row r="32" spans="2:14" ht="213.75" customHeight="1">
      <c r="B32" s="31" t="s">
        <v>128</v>
      </c>
      <c r="C32" s="23" t="s">
        <v>102</v>
      </c>
      <c r="D32" s="24" t="s">
        <v>100</v>
      </c>
      <c r="E32" s="32">
        <v>5.61</v>
      </c>
      <c r="F32" s="26">
        <f t="shared" si="0"/>
        <v>171960.43949852508</v>
      </c>
      <c r="G32" s="27">
        <f t="shared" si="1"/>
        <v>173680.04389351033</v>
      </c>
      <c r="H32" s="28">
        <f t="shared" si="2"/>
        <v>-1719.6043949852465</v>
      </c>
      <c r="I32" s="34"/>
      <c r="J32" s="3"/>
      <c r="K32" s="3"/>
      <c r="L32" s="6"/>
      <c r="M32" s="304"/>
      <c r="N32" s="304"/>
    </row>
    <row r="33" spans="2:14" ht="107.45" customHeight="1">
      <c r="B33" s="31" t="s">
        <v>104</v>
      </c>
      <c r="C33" s="23" t="s">
        <v>99</v>
      </c>
      <c r="D33" s="24" t="s">
        <v>100</v>
      </c>
      <c r="E33" s="32">
        <v>0.24</v>
      </c>
      <c r="F33" s="26">
        <f>$M$26/$M$27*E33</f>
        <v>7356.596342182891</v>
      </c>
      <c r="G33" s="27">
        <f>$N$26/$N$27*E33</f>
        <v>7430.1623056047201</v>
      </c>
      <c r="H33" s="28">
        <f t="shared" si="2"/>
        <v>-73.56596342182911</v>
      </c>
      <c r="I33" s="36"/>
    </row>
    <row r="34" spans="2:14" ht="36">
      <c r="B34" s="35" t="s">
        <v>92</v>
      </c>
      <c r="C34" s="23" t="s">
        <v>99</v>
      </c>
      <c r="D34" s="24" t="s">
        <v>100</v>
      </c>
      <c r="E34" s="32">
        <v>5.08</v>
      </c>
      <c r="F34" s="26">
        <v>155714.63</v>
      </c>
      <c r="G34" s="33">
        <v>12906</v>
      </c>
      <c r="H34" s="28">
        <f>F34-G34</f>
        <v>142808.63</v>
      </c>
      <c r="I34" s="36"/>
      <c r="L34" s="7"/>
    </row>
    <row r="35" spans="2:14" ht="16.5" thickBot="1">
      <c r="B35" s="66" t="s">
        <v>86</v>
      </c>
      <c r="C35" s="39" t="s">
        <v>102</v>
      </c>
      <c r="D35" s="40" t="s">
        <v>100</v>
      </c>
      <c r="E35" s="41">
        <v>0.32</v>
      </c>
      <c r="F35" s="26">
        <f>$M$26/$M$27*E35</f>
        <v>9808.795122910522</v>
      </c>
      <c r="G35" s="27">
        <f>$N$26/$N$27*E35</f>
        <v>9906.8830741396268</v>
      </c>
      <c r="H35" s="28">
        <f>F35-G35</f>
        <v>-98.087951229104874</v>
      </c>
      <c r="I35" s="36"/>
    </row>
    <row r="36" spans="2:14" ht="16.5" thickBot="1">
      <c r="B36" s="42" t="s">
        <v>90</v>
      </c>
      <c r="C36" s="43"/>
      <c r="D36" s="43"/>
      <c r="E36" s="44">
        <f>SUM(E27:E35)</f>
        <v>15.25</v>
      </c>
      <c r="F36" s="45">
        <f>SUM(F27:F35)</f>
        <v>467450.4</v>
      </c>
      <c r="G36" s="46">
        <f>SUM(G27:G35)</f>
        <v>327759.12770000001</v>
      </c>
      <c r="H36" s="47">
        <f>SUM(H27:H35)</f>
        <v>139691.27230000001</v>
      </c>
      <c r="I36" s="69"/>
    </row>
    <row r="37" spans="2:14" s="4" customFormat="1" ht="11.25" customHeight="1">
      <c r="B37" s="7"/>
      <c r="C37" s="7"/>
      <c r="D37" s="7"/>
      <c r="E37" s="17"/>
      <c r="I37" s="1"/>
      <c r="J37" s="1"/>
      <c r="K37" s="1"/>
      <c r="L37" s="1"/>
      <c r="M37" s="298"/>
      <c r="N37" s="298"/>
    </row>
    <row r="38" spans="2:14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48"/>
      <c r="J38" s="48"/>
    </row>
    <row r="39" spans="2:14" ht="42.75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70"/>
      <c r="J39" s="171"/>
      <c r="K39" s="49"/>
      <c r="L39" s="50"/>
      <c r="M39" s="305"/>
      <c r="N39" s="305"/>
    </row>
    <row r="40" spans="2:14">
      <c r="B40" s="163" t="s">
        <v>11</v>
      </c>
      <c r="C40" s="228">
        <f>E40+G40</f>
        <v>3074530.8600000003</v>
      </c>
      <c r="D40" s="260"/>
      <c r="E40" s="228">
        <f>F27+F28+F29+F30+F31+F32+F33+F35+E19</f>
        <v>2279222.39</v>
      </c>
      <c r="F40" s="260"/>
      <c r="G40" s="228">
        <f>F34+G19</f>
        <v>795308.47</v>
      </c>
      <c r="H40" s="229"/>
      <c r="I40" s="172"/>
      <c r="J40" s="173"/>
      <c r="K40" s="52"/>
      <c r="L40" s="52"/>
      <c r="M40" s="306"/>
    </row>
    <row r="41" spans="2:14">
      <c r="B41" s="164" t="s">
        <v>12</v>
      </c>
      <c r="C41" s="224">
        <f>E41+G41</f>
        <v>2918662.04</v>
      </c>
      <c r="D41" s="261"/>
      <c r="E41" s="224">
        <f>E20+307967.25</f>
        <v>2161636.12</v>
      </c>
      <c r="F41" s="261"/>
      <c r="G41" s="224">
        <f>G20+153832.21</f>
        <v>757025.91999999993</v>
      </c>
      <c r="H41" s="262"/>
      <c r="I41" s="172"/>
      <c r="J41" s="174"/>
      <c r="K41" s="54"/>
      <c r="L41" s="52"/>
      <c r="M41" s="306"/>
    </row>
    <row r="42" spans="2:14" ht="15.75" customHeight="1" thickBot="1">
      <c r="B42" s="165" t="s">
        <v>89</v>
      </c>
      <c r="C42" s="254">
        <f>E42+G42</f>
        <v>2897348.0909000002</v>
      </c>
      <c r="D42" s="256"/>
      <c r="E42" s="254">
        <f>G27+G28+G29+G30+G31+G32+G33+G35+E21</f>
        <v>2284427.0909000002</v>
      </c>
      <c r="F42" s="256"/>
      <c r="G42" s="254">
        <f>G34+G21</f>
        <v>612921</v>
      </c>
      <c r="H42" s="255"/>
      <c r="I42" s="172"/>
      <c r="J42" s="51"/>
      <c r="K42" s="36"/>
      <c r="L42" s="36"/>
    </row>
    <row r="43" spans="2:14" ht="26.25" customHeight="1" thickBot="1">
      <c r="B43" s="166" t="s">
        <v>154</v>
      </c>
      <c r="C43" s="232">
        <f>E43+G43</f>
        <v>21313.949099999852</v>
      </c>
      <c r="D43" s="233"/>
      <c r="E43" s="234">
        <f>E41-E42</f>
        <v>-122790.97090000007</v>
      </c>
      <c r="F43" s="235"/>
      <c r="G43" s="234">
        <f>G41-G42</f>
        <v>144104.91999999993</v>
      </c>
      <c r="H43" s="236"/>
      <c r="I43" s="175"/>
      <c r="J43" s="159"/>
      <c r="K43" s="36"/>
      <c r="L43" s="36"/>
    </row>
    <row r="44" spans="2:14" s="3" customFormat="1" ht="12" customHeight="1">
      <c r="B44" s="82"/>
      <c r="C44" s="157"/>
      <c r="D44" s="157"/>
      <c r="E44" s="158"/>
      <c r="F44" s="159"/>
      <c r="G44" s="159"/>
      <c r="H44" s="159"/>
      <c r="I44" s="55"/>
      <c r="M44" s="304"/>
      <c r="N44" s="304"/>
    </row>
    <row r="45" spans="2:14" s="3" customFormat="1" ht="12.75" customHeight="1">
      <c r="B45" s="55" t="s">
        <v>78</v>
      </c>
      <c r="C45" s="237" t="s">
        <v>157</v>
      </c>
      <c r="D45" s="237"/>
      <c r="E45" s="237"/>
      <c r="F45" s="252" t="s">
        <v>13</v>
      </c>
      <c r="G45" s="252"/>
      <c r="H45" s="55"/>
      <c r="I45" s="55"/>
      <c r="M45" s="304"/>
      <c r="N45" s="304"/>
    </row>
    <row r="46" spans="2:14" s="3" customFormat="1" ht="6.75" customHeight="1">
      <c r="B46" s="55"/>
      <c r="C46" s="56"/>
      <c r="D46" s="56"/>
      <c r="E46" s="205"/>
      <c r="F46" s="253"/>
      <c r="G46" s="253"/>
      <c r="H46" s="55"/>
      <c r="I46" s="55"/>
      <c r="M46" s="304"/>
      <c r="N46" s="304"/>
    </row>
    <row r="47" spans="2:14" ht="13.5" customHeight="1">
      <c r="B47" s="55" t="s">
        <v>79</v>
      </c>
      <c r="C47" s="237" t="s">
        <v>157</v>
      </c>
      <c r="D47" s="237"/>
      <c r="E47" s="237"/>
      <c r="F47" s="252" t="s">
        <v>94</v>
      </c>
      <c r="G47" s="252"/>
      <c r="H47" s="55"/>
      <c r="I47" s="55"/>
    </row>
    <row r="48" spans="2:14" ht="9.75" customHeight="1">
      <c r="B48" s="55"/>
      <c r="C48" s="56"/>
      <c r="D48" s="56"/>
      <c r="E48" s="205"/>
      <c r="F48" s="252"/>
      <c r="G48" s="252"/>
      <c r="H48" s="55"/>
      <c r="I48" s="55"/>
    </row>
    <row r="49" spans="2:9" ht="17.25" customHeight="1">
      <c r="B49" s="55" t="s">
        <v>80</v>
      </c>
      <c r="C49" s="237" t="s">
        <v>158</v>
      </c>
      <c r="D49" s="237"/>
      <c r="E49" s="237"/>
      <c r="F49" s="252" t="s">
        <v>96</v>
      </c>
      <c r="G49" s="252"/>
      <c r="H49" s="55"/>
      <c r="I49" s="8"/>
    </row>
    <row r="50" spans="2:9" ht="10.5" customHeight="1">
      <c r="B50" s="57"/>
      <c r="C50" s="58"/>
      <c r="D50" s="58"/>
      <c r="E50" s="205"/>
      <c r="F50" s="59"/>
      <c r="G50" s="57"/>
      <c r="H50" s="60"/>
      <c r="I50" s="55"/>
    </row>
    <row r="51" spans="2:9" ht="14.25" customHeight="1">
      <c r="B51" s="55" t="s">
        <v>81</v>
      </c>
      <c r="C51" s="237" t="s">
        <v>158</v>
      </c>
      <c r="D51" s="237"/>
      <c r="E51" s="237"/>
      <c r="F51" s="252" t="s">
        <v>96</v>
      </c>
      <c r="G51" s="252"/>
      <c r="H51" s="55"/>
      <c r="I51" s="4"/>
    </row>
    <row r="52" spans="2:9" ht="12" customHeight="1">
      <c r="C52" s="1"/>
      <c r="D52" s="1"/>
      <c r="E52" s="205"/>
      <c r="F52" s="251"/>
      <c r="G52" s="251"/>
      <c r="H52" s="4"/>
    </row>
    <row r="53" spans="2:9">
      <c r="C53" s="1"/>
      <c r="D53" s="1"/>
      <c r="E53" s="17"/>
      <c r="F53" s="4"/>
      <c r="G53" s="4"/>
      <c r="H53" s="4"/>
    </row>
  </sheetData>
  <mergeCells count="58">
    <mergeCell ref="C51:E51"/>
    <mergeCell ref="F52:G52"/>
    <mergeCell ref="C39:D39"/>
    <mergeCell ref="C40:D40"/>
    <mergeCell ref="C41:D41"/>
    <mergeCell ref="C42:D42"/>
    <mergeCell ref="C43:D43"/>
    <mergeCell ref="E41:F41"/>
    <mergeCell ref="G41:H41"/>
    <mergeCell ref="F51:G51"/>
    <mergeCell ref="E42:F42"/>
    <mergeCell ref="E43:F43"/>
    <mergeCell ref="F48:G48"/>
    <mergeCell ref="F47:G47"/>
    <mergeCell ref="M24:M25"/>
    <mergeCell ref="N24:N25"/>
    <mergeCell ref="C49:E49"/>
    <mergeCell ref="F49:G49"/>
    <mergeCell ref="F46:G46"/>
    <mergeCell ref="G43:H43"/>
    <mergeCell ref="G39:H39"/>
    <mergeCell ref="C45:E45"/>
    <mergeCell ref="C47:E47"/>
    <mergeCell ref="G42:H42"/>
    <mergeCell ref="E40:F40"/>
    <mergeCell ref="B38:H38"/>
    <mergeCell ref="B1:H1"/>
    <mergeCell ref="E25:E26"/>
    <mergeCell ref="F25:G25"/>
    <mergeCell ref="H25:H26"/>
    <mergeCell ref="B2:H2"/>
    <mergeCell ref="B3:H3"/>
    <mergeCell ref="B4:H4"/>
    <mergeCell ref="B24:H24"/>
    <mergeCell ref="B25:B26"/>
    <mergeCell ref="C25:C26"/>
    <mergeCell ref="D25:D26"/>
    <mergeCell ref="B6:H7"/>
    <mergeCell ref="B17:H17"/>
    <mergeCell ref="C18:D18"/>
    <mergeCell ref="E18:F18"/>
    <mergeCell ref="G18:H18"/>
    <mergeCell ref="D9:E9"/>
    <mergeCell ref="G40:H40"/>
    <mergeCell ref="E39:F39"/>
    <mergeCell ref="F45:G45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</mergeCells>
  <printOptions horizontalCentered="1"/>
  <pageMargins left="0.19685039370078741" right="0.19685039370078741" top="0.15748031496062992" bottom="0.23622047244094491" header="0.15748031496062992" footer="0.23622047244094491"/>
  <pageSetup paperSize="9" scale="47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7"/>
  <sheetViews>
    <sheetView topLeftCell="D18" zoomScale="110" zoomScaleNormal="110" workbookViewId="0">
      <selection activeCell="M18" sqref="M1:N1048576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4.28515625" style="139" customWidth="1"/>
    <col min="4" max="4" width="9.140625" style="4" customWidth="1"/>
    <col min="5" max="5" width="9.42578125" style="4" customWidth="1"/>
    <col min="6" max="6" width="10.140625" style="1" customWidth="1"/>
    <col min="7" max="7" width="10.42578125" style="1" customWidth="1"/>
    <col min="8" max="8" width="10.7109375" style="1" customWidth="1"/>
    <col min="9" max="9" width="15.5703125" style="1" customWidth="1"/>
    <col min="10" max="10" width="16.5703125" style="1" customWidth="1"/>
    <col min="11" max="12" width="9.140625" style="1"/>
    <col min="13" max="13" width="16.5703125" style="298" customWidth="1"/>
    <col min="14" max="14" width="16" style="298" customWidth="1"/>
    <col min="15" max="16384" width="9.140625" style="1"/>
  </cols>
  <sheetData>
    <row r="1" spans="1:9">
      <c r="B1" s="221" t="s">
        <v>126</v>
      </c>
      <c r="C1" s="221"/>
      <c r="D1" s="221"/>
      <c r="E1" s="221"/>
      <c r="F1" s="221"/>
      <c r="G1" s="221"/>
      <c r="H1" s="221"/>
    </row>
    <row r="2" spans="1:9">
      <c r="B2" s="221" t="s">
        <v>127</v>
      </c>
      <c r="C2" s="221"/>
      <c r="D2" s="221"/>
      <c r="E2" s="221"/>
      <c r="F2" s="221"/>
      <c r="G2" s="221"/>
      <c r="H2" s="221"/>
    </row>
    <row r="3" spans="1:9">
      <c r="B3" s="221" t="s">
        <v>177</v>
      </c>
      <c r="C3" s="221"/>
      <c r="D3" s="221"/>
      <c r="E3" s="221"/>
      <c r="F3" s="221"/>
      <c r="G3" s="221"/>
      <c r="H3" s="221"/>
    </row>
    <row r="4" spans="1:9">
      <c r="B4" s="221" t="s">
        <v>191</v>
      </c>
      <c r="C4" s="221"/>
      <c r="D4" s="221"/>
      <c r="E4" s="221"/>
      <c r="F4" s="221"/>
      <c r="G4" s="221"/>
      <c r="H4" s="221"/>
    </row>
    <row r="5" spans="1:9" ht="19.5" customHeight="1">
      <c r="A5" s="149"/>
      <c r="B5" s="238" t="s">
        <v>184</v>
      </c>
      <c r="C5" s="238"/>
      <c r="D5" s="238"/>
      <c r="E5" s="238"/>
      <c r="F5" s="238"/>
      <c r="G5" s="238"/>
      <c r="H5" s="238"/>
    </row>
    <row r="6" spans="1:9" ht="20.25" customHeight="1">
      <c r="A6" s="149"/>
      <c r="B6" s="238"/>
      <c r="C6" s="238"/>
      <c r="D6" s="238"/>
      <c r="E6" s="238"/>
      <c r="F6" s="238"/>
      <c r="G6" s="238"/>
      <c r="H6" s="238"/>
    </row>
    <row r="7" spans="1:9" ht="8.25" customHeight="1"/>
    <row r="8" spans="1:9">
      <c r="B8" s="176" t="s">
        <v>0</v>
      </c>
      <c r="C8" s="187"/>
      <c r="D8" s="245" t="s">
        <v>73</v>
      </c>
      <c r="E8" s="245"/>
    </row>
    <row r="9" spans="1:9">
      <c r="B9" s="176" t="s">
        <v>1</v>
      </c>
      <c r="C9" s="187"/>
      <c r="D9" s="208">
        <v>1969</v>
      </c>
      <c r="E9" s="208"/>
    </row>
    <row r="10" spans="1:9" hidden="1" outlineLevel="1">
      <c r="B10" s="176" t="s">
        <v>2</v>
      </c>
      <c r="C10" s="187"/>
      <c r="D10" s="208">
        <v>4</v>
      </c>
      <c r="E10" s="208"/>
    </row>
    <row r="11" spans="1:9" hidden="1" outlineLevel="1">
      <c r="B11" s="176" t="s">
        <v>3</v>
      </c>
      <c r="C11" s="187"/>
      <c r="D11" s="208">
        <v>63</v>
      </c>
      <c r="E11" s="208"/>
    </row>
    <row r="12" spans="1:9" ht="30.75" hidden="1" customHeight="1" outlineLevel="1">
      <c r="B12" s="178" t="s">
        <v>4</v>
      </c>
      <c r="C12" s="188"/>
      <c r="D12" s="208" t="s">
        <v>74</v>
      </c>
      <c r="E12" s="208"/>
    </row>
    <row r="13" spans="1:9" collapsed="1">
      <c r="B13" s="176" t="s">
        <v>5</v>
      </c>
      <c r="C13" s="187"/>
      <c r="D13" s="208" t="s">
        <v>118</v>
      </c>
      <c r="E13" s="208"/>
      <c r="I13" s="7"/>
    </row>
    <row r="14" spans="1:9" hidden="1" outlineLevel="1">
      <c r="B14" s="1" t="s">
        <v>6</v>
      </c>
      <c r="D14" s="169" t="s">
        <v>7</v>
      </c>
      <c r="E14" s="169"/>
    </row>
    <row r="15" spans="1:9" ht="30.75" hidden="1" customHeight="1" outlineLevel="1">
      <c r="B15" s="18" t="s">
        <v>8</v>
      </c>
      <c r="C15" s="140"/>
      <c r="D15" s="209" t="s">
        <v>16</v>
      </c>
      <c r="E15" s="169"/>
      <c r="I15" s="7"/>
    </row>
    <row r="16" spans="1:9" ht="16.5" collapsed="1" thickBot="1">
      <c r="B16" s="250" t="s">
        <v>182</v>
      </c>
      <c r="C16" s="250"/>
      <c r="D16" s="250"/>
      <c r="E16" s="250"/>
      <c r="F16" s="250"/>
      <c r="G16" s="250"/>
      <c r="H16" s="250"/>
      <c r="I16" s="7"/>
    </row>
    <row r="17" spans="2:14" ht="48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7"/>
    </row>
    <row r="18" spans="2:14">
      <c r="B18" s="163" t="s">
        <v>11</v>
      </c>
      <c r="C18" s="222">
        <v>2773298.04</v>
      </c>
      <c r="D18" s="223"/>
      <c r="E18" s="228">
        <v>1995900.7300000002</v>
      </c>
      <c r="F18" s="260"/>
      <c r="G18" s="228">
        <v>777397.31</v>
      </c>
      <c r="H18" s="229"/>
      <c r="I18" s="7"/>
    </row>
    <row r="19" spans="2:14">
      <c r="B19" s="164" t="s">
        <v>12</v>
      </c>
      <c r="C19" s="224">
        <v>2504342.3200000003</v>
      </c>
      <c r="D19" s="225"/>
      <c r="E19" s="224">
        <v>1803212.28</v>
      </c>
      <c r="F19" s="261"/>
      <c r="G19" s="224">
        <v>701130.04</v>
      </c>
      <c r="H19" s="262"/>
      <c r="I19" s="7"/>
    </row>
    <row r="20" spans="2:14" ht="16.5" thickBot="1">
      <c r="B20" s="165" t="s">
        <v>89</v>
      </c>
      <c r="C20" s="226">
        <v>2484620.4700000002</v>
      </c>
      <c r="D20" s="227"/>
      <c r="E20" s="254">
        <v>1991862.4700000002</v>
      </c>
      <c r="F20" s="256"/>
      <c r="G20" s="254">
        <v>492758</v>
      </c>
      <c r="H20" s="255"/>
      <c r="I20" s="7"/>
    </row>
    <row r="21" spans="2:14" ht="29.25" customHeight="1" thickBot="1">
      <c r="B21" s="166" t="s">
        <v>153</v>
      </c>
      <c r="C21" s="232">
        <f>E21+G21</f>
        <v>19721.84999999986</v>
      </c>
      <c r="D21" s="233"/>
      <c r="E21" s="234">
        <f>E19-E20</f>
        <v>-188650.19000000018</v>
      </c>
      <c r="F21" s="235"/>
      <c r="G21" s="234">
        <f>G19-G20</f>
        <v>208372.04000000004</v>
      </c>
      <c r="H21" s="236"/>
      <c r="I21" s="7"/>
    </row>
    <row r="22" spans="2:14">
      <c r="B22" s="18"/>
      <c r="C22" s="140"/>
      <c r="D22" s="209"/>
      <c r="E22" s="169"/>
      <c r="I22" s="7"/>
    </row>
    <row r="23" spans="2:14" ht="30.75" customHeight="1" thickBot="1">
      <c r="B23" s="247" t="s">
        <v>185</v>
      </c>
      <c r="C23" s="247"/>
      <c r="D23" s="247"/>
      <c r="E23" s="247"/>
      <c r="F23" s="247"/>
      <c r="G23" s="247"/>
      <c r="H23" s="247"/>
      <c r="I23" s="151"/>
      <c r="J23" s="151"/>
      <c r="L23" s="7"/>
      <c r="M23" s="299" t="s">
        <v>155</v>
      </c>
      <c r="N23" s="299" t="s">
        <v>156</v>
      </c>
    </row>
    <row r="24" spans="2:14" ht="34.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I24" s="152"/>
      <c r="J24" s="152"/>
      <c r="L24" s="7"/>
      <c r="M24" s="300"/>
      <c r="N24" s="300"/>
    </row>
    <row r="25" spans="2:14" ht="42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I25" s="152"/>
      <c r="J25" s="152"/>
      <c r="M25" s="301">
        <v>321312.21999999997</v>
      </c>
      <c r="N25" s="301">
        <f>321312*1.01</f>
        <v>324525.12</v>
      </c>
    </row>
    <row r="26" spans="2:14" ht="38.25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33391.269921568623</v>
      </c>
      <c r="G26" s="27">
        <f>$N$25/$N$26*E26</f>
        <v>33725.159529411765</v>
      </c>
      <c r="H26" s="28">
        <f>F26-G26</f>
        <v>-333.88960784314258</v>
      </c>
      <c r="I26" s="153"/>
      <c r="J26" s="153"/>
      <c r="K26" s="207"/>
      <c r="L26" s="30"/>
      <c r="M26" s="303">
        <f>E35-E33</f>
        <v>10.200000000000001</v>
      </c>
      <c r="N26" s="303">
        <f>E35-E33</f>
        <v>10.200000000000001</v>
      </c>
    </row>
    <row r="27" spans="2:14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4" si="0">$M$25/$M$26*E27</f>
        <v>37486.425666666655</v>
      </c>
      <c r="G27" s="27">
        <f t="shared" ref="G27:G31" si="1">$N$25/$N$26*E27</f>
        <v>37861.263999999996</v>
      </c>
      <c r="H27" s="28">
        <f t="shared" ref="H27:H32" si="2">F27-G27</f>
        <v>-374.83833333334042</v>
      </c>
      <c r="I27" s="153"/>
      <c r="J27" s="153"/>
      <c r="K27" s="3"/>
      <c r="L27" s="3"/>
      <c r="M27" s="304"/>
      <c r="N27" s="304"/>
    </row>
    <row r="28" spans="2:14" ht="36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10080.383372549019</v>
      </c>
      <c r="G28" s="27">
        <f t="shared" si="1"/>
        <v>10181.180235294116</v>
      </c>
      <c r="H28" s="28">
        <f t="shared" si="2"/>
        <v>-100.79686274509731</v>
      </c>
      <c r="I28" s="153"/>
      <c r="J28" s="153"/>
      <c r="L28" s="7"/>
    </row>
    <row r="29" spans="2:14" ht="25.5">
      <c r="B29" s="35" t="s">
        <v>85</v>
      </c>
      <c r="C29" s="37" t="s">
        <v>101</v>
      </c>
      <c r="D29" s="24" t="s">
        <v>100</v>
      </c>
      <c r="E29" s="32">
        <v>0.2</v>
      </c>
      <c r="F29" s="26">
        <f t="shared" si="0"/>
        <v>6300.2396078431366</v>
      </c>
      <c r="G29" s="27">
        <f t="shared" si="1"/>
        <v>6363.2376470588233</v>
      </c>
      <c r="H29" s="28">
        <f t="shared" si="2"/>
        <v>-62.998039215686731</v>
      </c>
      <c r="I29" s="153"/>
      <c r="J29" s="153"/>
      <c r="L29" s="7"/>
    </row>
    <row r="30" spans="2:14" ht="51">
      <c r="B30" s="31" t="s">
        <v>88</v>
      </c>
      <c r="C30" s="23" t="s">
        <v>144</v>
      </c>
      <c r="D30" s="24" t="s">
        <v>100</v>
      </c>
      <c r="E30" s="32">
        <v>1.18</v>
      </c>
      <c r="F30" s="26">
        <f t="shared" si="0"/>
        <v>37171.4136862745</v>
      </c>
      <c r="G30" s="27">
        <f t="shared" si="1"/>
        <v>37543.102117647053</v>
      </c>
      <c r="H30" s="28">
        <f t="shared" si="2"/>
        <v>-371.68843137255317</v>
      </c>
      <c r="I30" s="153"/>
      <c r="J30" s="153"/>
    </row>
    <row r="31" spans="2:14" ht="213.75" customHeight="1">
      <c r="B31" s="31" t="s">
        <v>128</v>
      </c>
      <c r="C31" s="23" t="s">
        <v>102</v>
      </c>
      <c r="D31" s="24" t="s">
        <v>100</v>
      </c>
      <c r="E31" s="32">
        <v>5.61</v>
      </c>
      <c r="F31" s="26">
        <f t="shared" si="0"/>
        <v>176721.72099999996</v>
      </c>
      <c r="G31" s="27">
        <f t="shared" si="1"/>
        <v>178488.81599999999</v>
      </c>
      <c r="H31" s="28">
        <f t="shared" si="2"/>
        <v>-1767.0950000000303</v>
      </c>
      <c r="I31" s="153"/>
      <c r="J31" s="153"/>
      <c r="K31" s="3"/>
      <c r="L31" s="6"/>
      <c r="M31" s="304"/>
      <c r="N31" s="304"/>
    </row>
    <row r="32" spans="2:14" ht="102">
      <c r="B32" s="31" t="s">
        <v>104</v>
      </c>
      <c r="C32" s="23" t="s">
        <v>99</v>
      </c>
      <c r="D32" s="24" t="s">
        <v>100</v>
      </c>
      <c r="E32" s="32">
        <v>0.24</v>
      </c>
      <c r="F32" s="26">
        <f t="shared" si="0"/>
        <v>7560.287529411763</v>
      </c>
      <c r="G32" s="27">
        <f t="shared" ref="G32" si="3">$N$25/$N$26*E32</f>
        <v>7635.8851764705869</v>
      </c>
      <c r="H32" s="28">
        <f t="shared" si="2"/>
        <v>-75.597647058823895</v>
      </c>
      <c r="I32" s="153"/>
      <c r="J32" s="153"/>
    </row>
    <row r="33" spans="2:14" ht="36">
      <c r="B33" s="35" t="s">
        <v>92</v>
      </c>
      <c r="C33" s="23" t="s">
        <v>99</v>
      </c>
      <c r="D33" s="24" t="s">
        <v>100</v>
      </c>
      <c r="E33" s="32">
        <v>4.5199999999999996</v>
      </c>
      <c r="F33" s="26">
        <v>142385.42000000001</v>
      </c>
      <c r="G33" s="33">
        <v>136425</v>
      </c>
      <c r="H33" s="28">
        <f>F33-G33</f>
        <v>5960.4200000000128</v>
      </c>
      <c r="I33" s="153"/>
      <c r="J33" s="153"/>
      <c r="L33" s="7"/>
    </row>
    <row r="34" spans="2:14" ht="16.5" thickBot="1">
      <c r="B34" s="66" t="s">
        <v>86</v>
      </c>
      <c r="C34" s="39" t="s">
        <v>102</v>
      </c>
      <c r="D34" s="40" t="s">
        <v>100</v>
      </c>
      <c r="E34" s="41">
        <v>0.4</v>
      </c>
      <c r="F34" s="26">
        <f t="shared" si="0"/>
        <v>12600.479215686273</v>
      </c>
      <c r="G34" s="27">
        <f t="shared" ref="G34" si="4">$N$25/$N$26*E34</f>
        <v>12726.475294117647</v>
      </c>
      <c r="H34" s="28">
        <f>F34-G34</f>
        <v>-125.99607843137346</v>
      </c>
      <c r="I34" s="153"/>
      <c r="J34" s="153"/>
    </row>
    <row r="35" spans="2:14" ht="16.5" thickBot="1">
      <c r="B35" s="42" t="s">
        <v>90</v>
      </c>
      <c r="C35" s="43"/>
      <c r="D35" s="43"/>
      <c r="E35" s="44">
        <f>SUM(E26:E34)</f>
        <v>14.72</v>
      </c>
      <c r="F35" s="45">
        <f>SUM(F26:F34)</f>
        <v>463697.63999999996</v>
      </c>
      <c r="G35" s="46">
        <f>SUM(G26:G34)</f>
        <v>460950.11999999994</v>
      </c>
      <c r="H35" s="47">
        <f>SUM(H26:H34)</f>
        <v>2747.519999999965</v>
      </c>
      <c r="I35" s="154"/>
      <c r="J35" s="154"/>
    </row>
    <row r="36" spans="2:14">
      <c r="B36" s="7"/>
      <c r="C36" s="7"/>
      <c r="D36" s="7"/>
      <c r="E36" s="17"/>
      <c r="F36" s="17"/>
      <c r="G36" s="17"/>
      <c r="H36" s="4"/>
      <c r="I36" s="4"/>
      <c r="J36" s="4"/>
    </row>
    <row r="37" spans="2:14" ht="16.5" customHeight="1" thickBot="1">
      <c r="B37" s="250" t="s">
        <v>187</v>
      </c>
      <c r="C37" s="250"/>
      <c r="D37" s="250"/>
      <c r="E37" s="250"/>
      <c r="F37" s="250"/>
      <c r="G37" s="250"/>
      <c r="H37" s="250"/>
      <c r="I37" s="155"/>
      <c r="J37" s="155"/>
    </row>
    <row r="38" spans="2:14" ht="40.5" customHeight="1" thickBot="1">
      <c r="B38" s="193" t="s">
        <v>188</v>
      </c>
      <c r="C38" s="230" t="s">
        <v>103</v>
      </c>
      <c r="D38" s="231"/>
      <c r="E38" s="257" t="s">
        <v>9</v>
      </c>
      <c r="F38" s="258"/>
      <c r="G38" s="257" t="s">
        <v>10</v>
      </c>
      <c r="H38" s="259"/>
      <c r="I38" s="170"/>
      <c r="J38" s="171"/>
      <c r="K38" s="49"/>
      <c r="L38" s="50"/>
      <c r="M38" s="305"/>
      <c r="N38" s="305"/>
    </row>
    <row r="39" spans="2:14">
      <c r="B39" s="163" t="s">
        <v>11</v>
      </c>
      <c r="C39" s="228">
        <f>E39+G39</f>
        <v>3236995.68</v>
      </c>
      <c r="D39" s="260"/>
      <c r="E39" s="228">
        <f>F26+F27+F28+F29+F30+F31+F32+F34+E18</f>
        <v>2317212.9500000002</v>
      </c>
      <c r="F39" s="260"/>
      <c r="G39" s="228">
        <f>F33+G18</f>
        <v>919782.7300000001</v>
      </c>
      <c r="H39" s="229"/>
      <c r="I39" s="172"/>
      <c r="J39" s="173"/>
      <c r="K39" s="52"/>
      <c r="L39" s="52"/>
      <c r="M39" s="306"/>
    </row>
    <row r="40" spans="2:14">
      <c r="B40" s="164" t="s">
        <v>12</v>
      </c>
      <c r="C40" s="224">
        <f>E40+G40</f>
        <v>2902776.24</v>
      </c>
      <c r="D40" s="261"/>
      <c r="E40" s="224">
        <f>E19+276088.72</f>
        <v>2079301</v>
      </c>
      <c r="F40" s="261"/>
      <c r="G40" s="224">
        <f>G19+122345.2</f>
        <v>823475.24</v>
      </c>
      <c r="H40" s="262"/>
      <c r="I40" s="172"/>
      <c r="J40" s="174"/>
      <c r="K40" s="54"/>
      <c r="L40" s="52"/>
      <c r="M40" s="306"/>
    </row>
    <row r="41" spans="2:14" ht="16.5" thickBot="1">
      <c r="B41" s="165" t="s">
        <v>89</v>
      </c>
      <c r="C41" s="254">
        <f>E41+G41</f>
        <v>2945570.5900000003</v>
      </c>
      <c r="D41" s="256"/>
      <c r="E41" s="254">
        <f>G26+G27+G28+G29+G30+G31+G32+G34+E20</f>
        <v>2316387.5900000003</v>
      </c>
      <c r="F41" s="256"/>
      <c r="G41" s="254">
        <f>G33+G20</f>
        <v>629183</v>
      </c>
      <c r="H41" s="255"/>
      <c r="I41" s="172"/>
      <c r="J41" s="51"/>
      <c r="K41" s="36"/>
      <c r="L41" s="36"/>
    </row>
    <row r="42" spans="2:14" ht="29.25" customHeight="1" thickBot="1">
      <c r="B42" s="166" t="s">
        <v>154</v>
      </c>
      <c r="C42" s="232">
        <f>E42+G42</f>
        <v>-42794.350000000326</v>
      </c>
      <c r="D42" s="233"/>
      <c r="E42" s="234">
        <f>E40-E41</f>
        <v>-237086.59000000032</v>
      </c>
      <c r="F42" s="235"/>
      <c r="G42" s="234">
        <f>G40-G41</f>
        <v>194292.24</v>
      </c>
      <c r="H42" s="236"/>
      <c r="I42" s="175"/>
      <c r="J42" s="159"/>
      <c r="K42" s="36"/>
      <c r="L42" s="36"/>
    </row>
    <row r="43" spans="2:14" ht="15.75" customHeight="1">
      <c r="B43" s="82"/>
      <c r="C43" s="157"/>
      <c r="D43" s="157"/>
      <c r="E43" s="159"/>
      <c r="F43" s="159"/>
      <c r="G43" s="159"/>
      <c r="H43" s="159"/>
      <c r="I43" s="211"/>
      <c r="J43" s="211"/>
      <c r="K43" s="3"/>
      <c r="L43" s="3"/>
      <c r="M43" s="304"/>
      <c r="N43" s="304"/>
    </row>
    <row r="44" spans="2:14" ht="18" customHeight="1">
      <c r="B44" s="55" t="s">
        <v>78</v>
      </c>
      <c r="C44" s="237" t="s">
        <v>157</v>
      </c>
      <c r="D44" s="237"/>
      <c r="E44" s="237"/>
      <c r="F44" s="252" t="s">
        <v>13</v>
      </c>
      <c r="G44" s="252"/>
      <c r="H44" s="55"/>
      <c r="I44" s="212"/>
      <c r="J44" s="212"/>
      <c r="K44" s="3"/>
      <c r="L44" s="3"/>
      <c r="M44" s="304"/>
      <c r="N44" s="304"/>
    </row>
    <row r="45" spans="2:14" ht="9.75" customHeight="1">
      <c r="B45" s="55"/>
      <c r="C45" s="56"/>
      <c r="D45" s="56"/>
      <c r="E45" s="220"/>
      <c r="F45" s="253"/>
      <c r="G45" s="253"/>
      <c r="H45" s="55"/>
      <c r="I45" s="211"/>
      <c r="J45" s="211"/>
      <c r="K45" s="3"/>
      <c r="L45" s="3"/>
      <c r="M45" s="304"/>
      <c r="N45" s="304"/>
    </row>
    <row r="46" spans="2:14" ht="15" customHeight="1">
      <c r="B46" s="55" t="s">
        <v>79</v>
      </c>
      <c r="C46" s="237" t="s">
        <v>157</v>
      </c>
      <c r="D46" s="237"/>
      <c r="E46" s="237"/>
      <c r="F46" s="252" t="s">
        <v>94</v>
      </c>
      <c r="G46" s="252"/>
      <c r="H46" s="55"/>
      <c r="I46" s="211"/>
      <c r="J46" s="211"/>
    </row>
    <row r="47" spans="2:14" ht="9.75" customHeight="1">
      <c r="B47" s="55"/>
      <c r="C47" s="56"/>
      <c r="D47" s="56"/>
      <c r="E47" s="220"/>
      <c r="F47" s="252"/>
      <c r="G47" s="252"/>
      <c r="H47" s="55"/>
      <c r="I47" s="211"/>
      <c r="J47" s="211"/>
    </row>
    <row r="48" spans="2:14" ht="15.75" customHeight="1">
      <c r="B48" s="55" t="s">
        <v>80</v>
      </c>
      <c r="C48" s="237" t="s">
        <v>158</v>
      </c>
      <c r="D48" s="237"/>
      <c r="E48" s="237"/>
      <c r="F48" s="252" t="s">
        <v>96</v>
      </c>
      <c r="G48" s="252"/>
      <c r="H48" s="55"/>
      <c r="I48" s="60"/>
      <c r="J48" s="60"/>
    </row>
    <row r="49" spans="2:8" ht="9" customHeight="1">
      <c r="B49" s="57"/>
      <c r="C49" s="58"/>
      <c r="D49" s="58"/>
      <c r="E49" s="220"/>
      <c r="F49" s="59"/>
      <c r="G49" s="57"/>
      <c r="H49" s="60"/>
    </row>
    <row r="50" spans="2:8" ht="14.25" customHeight="1">
      <c r="B50" s="55" t="s">
        <v>81</v>
      </c>
      <c r="C50" s="237" t="s">
        <v>158</v>
      </c>
      <c r="D50" s="237"/>
      <c r="E50" s="237"/>
      <c r="F50" s="252" t="s">
        <v>96</v>
      </c>
      <c r="G50" s="252"/>
      <c r="H50" s="55"/>
    </row>
    <row r="51" spans="2:8">
      <c r="C51" s="17"/>
      <c r="E51" s="210"/>
    </row>
    <row r="52" spans="2:8">
      <c r="C52" s="17"/>
    </row>
    <row r="53" spans="2:8">
      <c r="C53" s="17"/>
    </row>
    <row r="54" spans="2:8">
      <c r="C54" s="17"/>
    </row>
    <row r="55" spans="2:8">
      <c r="C55" s="17"/>
    </row>
    <row r="56" spans="2:8">
      <c r="C56" s="17"/>
    </row>
    <row r="57" spans="2:8">
      <c r="C57" s="17"/>
    </row>
  </sheetData>
  <mergeCells count="57">
    <mergeCell ref="C44:E44"/>
    <mergeCell ref="C46:E46"/>
    <mergeCell ref="C48:E48"/>
    <mergeCell ref="F48:G48"/>
    <mergeCell ref="C50:E50"/>
    <mergeCell ref="F50:G50"/>
    <mergeCell ref="F46:G46"/>
    <mergeCell ref="F47:G47"/>
    <mergeCell ref="F45:G45"/>
    <mergeCell ref="C38:D38"/>
    <mergeCell ref="C39:D39"/>
    <mergeCell ref="C40:D40"/>
    <mergeCell ref="C41:D41"/>
    <mergeCell ref="C42:D42"/>
    <mergeCell ref="C21:D21"/>
    <mergeCell ref="E21:F21"/>
    <mergeCell ref="G21:H21"/>
    <mergeCell ref="M23:M24"/>
    <mergeCell ref="N23:N24"/>
    <mergeCell ref="C19:D19"/>
    <mergeCell ref="E19:F19"/>
    <mergeCell ref="G19:H19"/>
    <mergeCell ref="C20:D20"/>
    <mergeCell ref="E20:F20"/>
    <mergeCell ref="G20:H20"/>
    <mergeCell ref="G41:H41"/>
    <mergeCell ref="B2:H2"/>
    <mergeCell ref="B3:H3"/>
    <mergeCell ref="B4:H4"/>
    <mergeCell ref="G40:H40"/>
    <mergeCell ref="D8:E8"/>
    <mergeCell ref="B37:H37"/>
    <mergeCell ref="E38:F38"/>
    <mergeCell ref="G38:H38"/>
    <mergeCell ref="B23:H23"/>
    <mergeCell ref="B24:B25"/>
    <mergeCell ref="C24:C25"/>
    <mergeCell ref="D24:D25"/>
    <mergeCell ref="E24:E25"/>
    <mergeCell ref="H24:H25"/>
    <mergeCell ref="G18:H18"/>
    <mergeCell ref="B1:H1"/>
    <mergeCell ref="E42:F42"/>
    <mergeCell ref="B5:H6"/>
    <mergeCell ref="G42:H42"/>
    <mergeCell ref="F44:G44"/>
    <mergeCell ref="G39:H39"/>
    <mergeCell ref="E41:F41"/>
    <mergeCell ref="F24:G24"/>
    <mergeCell ref="B16:H16"/>
    <mergeCell ref="C17:D17"/>
    <mergeCell ref="E39:F39"/>
    <mergeCell ref="E40:F40"/>
    <mergeCell ref="E17:F17"/>
    <mergeCell ref="G17:H17"/>
    <mergeCell ref="C18:D18"/>
    <mergeCell ref="E18:F18"/>
  </mergeCells>
  <printOptions horizontalCentered="1"/>
  <pageMargins left="0.23622047244094491" right="0.19685039370078741" top="0.16" bottom="0.23622047244094491" header="0.16" footer="0.24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51"/>
  <sheetViews>
    <sheetView tabSelected="1" zoomScale="110" zoomScaleNormal="110" workbookViewId="0">
      <selection activeCell="J19" sqref="J19"/>
    </sheetView>
  </sheetViews>
  <sheetFormatPr defaultColWidth="9.140625" defaultRowHeight="15.75" outlineLevelRow="1"/>
  <cols>
    <col min="1" max="1" width="2.85546875" style="1" customWidth="1"/>
    <col min="2" max="2" width="56.42578125" style="1" customWidth="1"/>
    <col min="3" max="3" width="15.140625" style="17" customWidth="1"/>
    <col min="4" max="4" width="8.42578125" style="4" customWidth="1"/>
    <col min="5" max="5" width="10.5703125" style="4" customWidth="1"/>
    <col min="6" max="6" width="9.7109375" style="1" customWidth="1"/>
    <col min="7" max="7" width="10.28515625" style="1" customWidth="1"/>
    <col min="8" max="8" width="10.85546875" style="1" customWidth="1"/>
    <col min="9" max="9" width="15.28515625" style="1" customWidth="1"/>
    <col min="10" max="10" width="16.85546875" style="1" customWidth="1"/>
    <col min="11" max="11" width="9.140625" style="1"/>
    <col min="12" max="12" width="11.42578125" style="1" customWidth="1"/>
    <col min="13" max="13" width="14" style="298" customWidth="1"/>
    <col min="14" max="14" width="16" style="298" customWidth="1"/>
    <col min="15" max="16384" width="9.140625" style="1"/>
  </cols>
  <sheetData>
    <row r="1" spans="1:9">
      <c r="B1" s="221" t="s">
        <v>126</v>
      </c>
      <c r="C1" s="221"/>
      <c r="D1" s="221"/>
      <c r="E1" s="221"/>
      <c r="F1" s="221"/>
      <c r="G1" s="221"/>
      <c r="H1" s="221"/>
    </row>
    <row r="2" spans="1:9">
      <c r="B2" s="221" t="s">
        <v>127</v>
      </c>
      <c r="C2" s="221"/>
      <c r="D2" s="221"/>
      <c r="E2" s="221"/>
      <c r="F2" s="221"/>
      <c r="G2" s="221"/>
      <c r="H2" s="221"/>
    </row>
    <row r="3" spans="1:9">
      <c r="B3" s="221" t="s">
        <v>178</v>
      </c>
      <c r="C3" s="221"/>
      <c r="D3" s="221"/>
      <c r="E3" s="221"/>
      <c r="F3" s="221"/>
      <c r="G3" s="221"/>
      <c r="H3" s="221"/>
    </row>
    <row r="4" spans="1:9">
      <c r="B4" s="221" t="s">
        <v>191</v>
      </c>
      <c r="C4" s="221"/>
      <c r="D4" s="221"/>
      <c r="E4" s="221"/>
      <c r="F4" s="221"/>
      <c r="G4" s="221"/>
      <c r="H4" s="221"/>
    </row>
    <row r="5" spans="1:9" ht="19.5" customHeight="1">
      <c r="A5" s="149"/>
      <c r="B5" s="238" t="s">
        <v>184</v>
      </c>
      <c r="C5" s="238"/>
      <c r="D5" s="238"/>
      <c r="E5" s="238"/>
      <c r="F5" s="238"/>
      <c r="G5" s="238"/>
      <c r="H5" s="238"/>
    </row>
    <row r="6" spans="1:9" ht="20.25" customHeight="1">
      <c r="A6" s="149"/>
      <c r="B6" s="238"/>
      <c r="C6" s="238"/>
      <c r="D6" s="238"/>
      <c r="E6" s="238"/>
      <c r="F6" s="238"/>
      <c r="G6" s="238"/>
      <c r="H6" s="238"/>
    </row>
    <row r="7" spans="1:9" ht="8.25" customHeight="1"/>
    <row r="8" spans="1:9">
      <c r="B8" s="176" t="s">
        <v>0</v>
      </c>
      <c r="C8" s="177"/>
      <c r="D8" s="245" t="s">
        <v>75</v>
      </c>
      <c r="E8" s="245"/>
      <c r="F8" s="176"/>
    </row>
    <row r="9" spans="1:9">
      <c r="B9" s="176" t="s">
        <v>1</v>
      </c>
      <c r="C9" s="177"/>
      <c r="D9" s="208">
        <v>1967</v>
      </c>
      <c r="E9" s="208"/>
      <c r="F9" s="176"/>
    </row>
    <row r="10" spans="1:9" hidden="1" outlineLevel="1">
      <c r="B10" s="176" t="s">
        <v>2</v>
      </c>
      <c r="C10" s="177"/>
      <c r="D10" s="208">
        <v>4</v>
      </c>
      <c r="E10" s="208"/>
      <c r="F10" s="176"/>
    </row>
    <row r="11" spans="1:9" hidden="1" outlineLevel="1">
      <c r="B11" s="176" t="s">
        <v>3</v>
      </c>
      <c r="C11" s="177"/>
      <c r="D11" s="208">
        <v>60</v>
      </c>
      <c r="E11" s="208"/>
      <c r="F11" s="176"/>
    </row>
    <row r="12" spans="1:9" ht="30.75" hidden="1" customHeight="1" outlineLevel="1">
      <c r="B12" s="178" t="s">
        <v>4</v>
      </c>
      <c r="C12" s="179"/>
      <c r="D12" s="208" t="s">
        <v>76</v>
      </c>
      <c r="E12" s="208"/>
      <c r="F12" s="176"/>
    </row>
    <row r="13" spans="1:9" collapsed="1">
      <c r="B13" s="176" t="s">
        <v>5</v>
      </c>
      <c r="C13" s="177"/>
      <c r="D13" s="208" t="s">
        <v>137</v>
      </c>
      <c r="E13" s="208"/>
      <c r="F13" s="176"/>
      <c r="I13" s="7"/>
    </row>
    <row r="14" spans="1:9">
      <c r="B14" s="176" t="s">
        <v>6</v>
      </c>
      <c r="C14" s="177"/>
      <c r="D14" s="208" t="s">
        <v>139</v>
      </c>
      <c r="E14" s="208"/>
      <c r="F14" s="176"/>
    </row>
    <row r="15" spans="1:9" ht="30.75" hidden="1" customHeight="1" outlineLevel="1">
      <c r="B15" s="18" t="s">
        <v>8</v>
      </c>
      <c r="C15" s="19"/>
      <c r="D15" s="209" t="s">
        <v>77</v>
      </c>
      <c r="E15" s="169"/>
      <c r="I15" s="7"/>
    </row>
    <row r="16" spans="1:9" ht="16.5" collapsed="1" thickBot="1">
      <c r="B16" s="250" t="s">
        <v>182</v>
      </c>
      <c r="C16" s="250"/>
      <c r="D16" s="250"/>
      <c r="E16" s="250"/>
      <c r="F16" s="250"/>
      <c r="G16" s="250"/>
      <c r="H16" s="250"/>
      <c r="I16" s="7"/>
    </row>
    <row r="17" spans="2:15" ht="45.7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7"/>
    </row>
    <row r="18" spans="2:15">
      <c r="B18" s="163" t="s">
        <v>11</v>
      </c>
      <c r="C18" s="222">
        <v>2660208.0300000003</v>
      </c>
      <c r="D18" s="223"/>
      <c r="E18" s="228">
        <v>1864953.2970707072</v>
      </c>
      <c r="F18" s="260"/>
      <c r="G18" s="228">
        <v>795254.73292929283</v>
      </c>
      <c r="H18" s="229"/>
      <c r="I18" s="7"/>
    </row>
    <row r="19" spans="2:15">
      <c r="B19" s="164" t="s">
        <v>12</v>
      </c>
      <c r="C19" s="224">
        <v>2287964.4113559322</v>
      </c>
      <c r="D19" s="225"/>
      <c r="E19" s="224">
        <v>1602949.9249152543</v>
      </c>
      <c r="F19" s="261"/>
      <c r="G19" s="224">
        <v>685014.48644067789</v>
      </c>
      <c r="H19" s="262"/>
      <c r="I19" s="7"/>
    </row>
    <row r="20" spans="2:15" ht="16.5" thickBot="1">
      <c r="B20" s="165" t="s">
        <v>89</v>
      </c>
      <c r="C20" s="226">
        <v>2561393.8395999996</v>
      </c>
      <c r="D20" s="227"/>
      <c r="E20" s="254">
        <v>1845524.8395999998</v>
      </c>
      <c r="F20" s="256"/>
      <c r="G20" s="254">
        <v>715869</v>
      </c>
      <c r="H20" s="255"/>
      <c r="I20" s="7"/>
    </row>
    <row r="21" spans="2:15" ht="33" customHeight="1" thickBot="1">
      <c r="B21" s="166" t="s">
        <v>153</v>
      </c>
      <c r="C21" s="232">
        <f>E21+G21</f>
        <v>-273429.42824406759</v>
      </c>
      <c r="D21" s="233"/>
      <c r="E21" s="234">
        <f>E19-E20</f>
        <v>-242574.91468474548</v>
      </c>
      <c r="F21" s="235"/>
      <c r="G21" s="234">
        <f>G19-G20</f>
        <v>-30854.513559322106</v>
      </c>
      <c r="H21" s="236"/>
      <c r="I21" s="7"/>
    </row>
    <row r="22" spans="2:15">
      <c r="B22" s="18"/>
      <c r="C22" s="19"/>
      <c r="D22" s="209"/>
      <c r="E22" s="169"/>
      <c r="I22" s="7"/>
    </row>
    <row r="23" spans="2:15" ht="35.25" customHeight="1" thickBot="1">
      <c r="B23" s="247" t="s">
        <v>185</v>
      </c>
      <c r="C23" s="247"/>
      <c r="D23" s="247"/>
      <c r="E23" s="247"/>
      <c r="F23" s="247"/>
      <c r="G23" s="247"/>
      <c r="H23" s="247"/>
      <c r="I23" s="151"/>
      <c r="J23" s="151"/>
      <c r="L23" s="7"/>
      <c r="M23" s="299" t="s">
        <v>155</v>
      </c>
      <c r="N23" s="299" t="s">
        <v>156</v>
      </c>
    </row>
    <row r="24" spans="2:15" ht="31.5" customHeight="1">
      <c r="B24" s="273" t="s">
        <v>95</v>
      </c>
      <c r="C24" s="271" t="s">
        <v>97</v>
      </c>
      <c r="D24" s="271" t="s">
        <v>113</v>
      </c>
      <c r="E24" s="248" t="s">
        <v>186</v>
      </c>
      <c r="F24" s="267" t="s">
        <v>98</v>
      </c>
      <c r="G24" s="268"/>
      <c r="H24" s="239" t="s">
        <v>129</v>
      </c>
      <c r="I24" s="152"/>
      <c r="J24" s="152"/>
      <c r="L24" s="7"/>
      <c r="M24" s="300"/>
      <c r="N24" s="300"/>
    </row>
    <row r="25" spans="2:15" ht="63.7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I25" s="152"/>
      <c r="J25" s="152"/>
      <c r="M25" s="303">
        <v>281343.23</v>
      </c>
      <c r="N25" s="301">
        <f>281343.23*1.01</f>
        <v>284156.66229999997</v>
      </c>
    </row>
    <row r="26" spans="2:15" ht="40.5" customHeight="1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29972.243597989949</v>
      </c>
      <c r="G26" s="27">
        <f>$N$25/$N$26*E26</f>
        <v>30271.966033969849</v>
      </c>
      <c r="H26" s="28">
        <f>F26-G26</f>
        <v>-299.72243597990018</v>
      </c>
      <c r="I26" s="153"/>
      <c r="J26" s="153"/>
      <c r="K26" s="207"/>
      <c r="L26" s="30"/>
      <c r="M26" s="303">
        <f>E35-E33</f>
        <v>9.9499999999999993</v>
      </c>
      <c r="N26" s="303">
        <f>E35-E33</f>
        <v>9.9499999999999993</v>
      </c>
    </row>
    <row r="27" spans="2:15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4" si="0">$M$25/$M$26*E27</f>
        <v>33648.084793969843</v>
      </c>
      <c r="G27" s="27">
        <f t="shared" ref="G27:G31" si="1">$N$25/$N$26*E27</f>
        <v>33984.565641909547</v>
      </c>
      <c r="H27" s="28">
        <f t="shared" ref="H27:H32" si="2">F27-G27</f>
        <v>-336.48084793970338</v>
      </c>
      <c r="I27" s="153"/>
      <c r="J27" s="153"/>
      <c r="K27" s="3"/>
      <c r="L27" s="8" t="s">
        <v>140</v>
      </c>
      <c r="M27" s="306">
        <f>M28/14.75*M26</f>
        <v>0</v>
      </c>
      <c r="N27" s="306">
        <f>N28/14.75*N26</f>
        <v>0</v>
      </c>
    </row>
    <row r="28" spans="2:15" ht="30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9048.2244824120608</v>
      </c>
      <c r="G28" s="27">
        <f t="shared" si="1"/>
        <v>9138.7067272361819</v>
      </c>
      <c r="H28" s="28">
        <f t="shared" si="2"/>
        <v>-90.482244824121153</v>
      </c>
      <c r="I28" s="153"/>
      <c r="J28" s="153"/>
      <c r="L28" s="8" t="s">
        <v>138</v>
      </c>
      <c r="M28" s="307"/>
      <c r="N28" s="307"/>
      <c r="O28" s="8"/>
    </row>
    <row r="29" spans="2:15" ht="25.5">
      <c r="B29" s="35" t="s">
        <v>85</v>
      </c>
      <c r="C29" s="37" t="s">
        <v>101</v>
      </c>
      <c r="D29" s="24" t="s">
        <v>100</v>
      </c>
      <c r="E29" s="32">
        <v>0.24</v>
      </c>
      <c r="F29" s="26">
        <f t="shared" si="0"/>
        <v>6786.1683618090447</v>
      </c>
      <c r="G29" s="27">
        <f t="shared" si="1"/>
        <v>6854.0300454271355</v>
      </c>
      <c r="H29" s="28">
        <f t="shared" si="2"/>
        <v>-67.861683618090865</v>
      </c>
      <c r="I29" s="153"/>
      <c r="J29" s="153"/>
      <c r="L29" s="9" t="s">
        <v>141</v>
      </c>
      <c r="M29" s="306">
        <f>M28/14.75*E33</f>
        <v>0</v>
      </c>
      <c r="N29" s="306">
        <f>N28/14.75*E33</f>
        <v>0</v>
      </c>
      <c r="O29" s="8"/>
    </row>
    <row r="30" spans="2:15" ht="51">
      <c r="B30" s="31" t="s">
        <v>88</v>
      </c>
      <c r="C30" s="23" t="s">
        <v>144</v>
      </c>
      <c r="D30" s="24" t="s">
        <v>100</v>
      </c>
      <c r="E30" s="32">
        <v>1.18</v>
      </c>
      <c r="F30" s="26">
        <f t="shared" si="0"/>
        <v>33365.327778894469</v>
      </c>
      <c r="G30" s="27">
        <f t="shared" si="1"/>
        <v>33698.981056683413</v>
      </c>
      <c r="H30" s="28">
        <f t="shared" si="2"/>
        <v>-333.65327778894425</v>
      </c>
      <c r="I30" s="153"/>
      <c r="J30" s="153"/>
    </row>
    <row r="31" spans="2:15" ht="216.75" customHeight="1">
      <c r="B31" s="31" t="s">
        <v>128</v>
      </c>
      <c r="C31" s="23" t="s">
        <v>102</v>
      </c>
      <c r="D31" s="24" t="s">
        <v>100</v>
      </c>
      <c r="E31" s="32">
        <v>5.61</v>
      </c>
      <c r="F31" s="26">
        <f t="shared" si="0"/>
        <v>158626.68545728642</v>
      </c>
      <c r="G31" s="27">
        <f t="shared" si="1"/>
        <v>160212.95231185932</v>
      </c>
      <c r="H31" s="28">
        <f t="shared" si="2"/>
        <v>-1586.2668545728957</v>
      </c>
      <c r="I31" s="153"/>
      <c r="J31" s="153"/>
      <c r="K31" s="3"/>
      <c r="L31" s="6"/>
      <c r="M31" s="304"/>
      <c r="N31" s="304"/>
    </row>
    <row r="32" spans="2:15" ht="108.75" customHeight="1">
      <c r="B32" s="31" t="s">
        <v>104</v>
      </c>
      <c r="C32" s="23" t="s">
        <v>99</v>
      </c>
      <c r="D32" s="24" t="s">
        <v>100</v>
      </c>
      <c r="E32" s="32">
        <v>0.24</v>
      </c>
      <c r="F32" s="26">
        <f t="shared" si="0"/>
        <v>6786.1683618090447</v>
      </c>
      <c r="G32" s="27">
        <f t="shared" ref="G32" si="3">$N$25/$N$26*E32</f>
        <v>6854.0300454271355</v>
      </c>
      <c r="H32" s="28">
        <f t="shared" si="2"/>
        <v>-67.861683618090865</v>
      </c>
      <c r="I32" s="153"/>
      <c r="J32" s="153"/>
    </row>
    <row r="33" spans="2:14" ht="27.75" customHeight="1">
      <c r="B33" s="35" t="s">
        <v>92</v>
      </c>
      <c r="C33" s="23" t="s">
        <v>99</v>
      </c>
      <c r="D33" s="24" t="s">
        <v>100</v>
      </c>
      <c r="E33" s="32">
        <v>4.9000000000000004</v>
      </c>
      <c r="F33" s="26">
        <v>138550.93</v>
      </c>
      <c r="G33" s="33">
        <v>42469</v>
      </c>
      <c r="H33" s="28">
        <f>F33-G33</f>
        <v>96081.93</v>
      </c>
      <c r="I33" s="153"/>
      <c r="J33" s="153"/>
      <c r="L33" s="7"/>
    </row>
    <row r="34" spans="2:14" ht="16.5" thickBot="1">
      <c r="B34" s="66" t="s">
        <v>86</v>
      </c>
      <c r="C34" s="39" t="s">
        <v>102</v>
      </c>
      <c r="D34" s="40" t="s">
        <v>100</v>
      </c>
      <c r="E34" s="41">
        <v>0.11</v>
      </c>
      <c r="F34" s="26">
        <f t="shared" si="0"/>
        <v>3110.3271658291455</v>
      </c>
      <c r="G34" s="27">
        <f t="shared" ref="G34" si="4">$N$25/$N$26*E34</f>
        <v>3141.4304374874373</v>
      </c>
      <c r="H34" s="28">
        <f>F34-G34</f>
        <v>-31.10327165829176</v>
      </c>
      <c r="I34" s="153"/>
      <c r="J34" s="153"/>
    </row>
    <row r="35" spans="2:14" ht="16.5" thickBot="1">
      <c r="B35" s="42" t="s">
        <v>90</v>
      </c>
      <c r="C35" s="43"/>
      <c r="D35" s="43"/>
      <c r="E35" s="44">
        <f>SUM(E26:E34)</f>
        <v>14.85</v>
      </c>
      <c r="F35" s="45">
        <f>SUM(F26:F34)</f>
        <v>419894.16</v>
      </c>
      <c r="G35" s="46">
        <f>SUM(G26:G34)</f>
        <v>326625.66230000003</v>
      </c>
      <c r="H35" s="47">
        <f>SUM(H26:H34)</f>
        <v>93268.497699999964</v>
      </c>
      <c r="I35" s="154"/>
      <c r="J35" s="154"/>
    </row>
    <row r="36" spans="2:14">
      <c r="B36" s="7"/>
      <c r="C36" s="7"/>
      <c r="D36" s="7"/>
      <c r="E36" s="17"/>
      <c r="F36" s="17"/>
      <c r="G36" s="17"/>
      <c r="H36" s="4"/>
      <c r="I36" s="4"/>
      <c r="J36" s="4"/>
    </row>
    <row r="37" spans="2:14" ht="16.5" customHeight="1" thickBot="1">
      <c r="B37" s="250" t="s">
        <v>187</v>
      </c>
      <c r="C37" s="250"/>
      <c r="D37" s="250"/>
      <c r="E37" s="250"/>
      <c r="F37" s="250"/>
      <c r="G37" s="250"/>
      <c r="H37" s="250"/>
      <c r="I37" s="155"/>
      <c r="J37" s="155"/>
    </row>
    <row r="38" spans="2:14" ht="44.25" customHeight="1" thickBot="1">
      <c r="B38" s="193" t="s">
        <v>188</v>
      </c>
      <c r="C38" s="230" t="s">
        <v>103</v>
      </c>
      <c r="D38" s="231"/>
      <c r="E38" s="257" t="s">
        <v>9</v>
      </c>
      <c r="F38" s="258"/>
      <c r="G38" s="257" t="s">
        <v>10</v>
      </c>
      <c r="H38" s="259"/>
      <c r="I38" s="170"/>
      <c r="J38" s="171"/>
      <c r="K38" s="49"/>
      <c r="L38" s="50"/>
      <c r="M38" s="305"/>
      <c r="N38" s="305"/>
    </row>
    <row r="39" spans="2:14">
      <c r="B39" s="163" t="s">
        <v>11</v>
      </c>
      <c r="C39" s="228">
        <f>E39+G39</f>
        <v>3080102.19</v>
      </c>
      <c r="D39" s="260"/>
      <c r="E39" s="228">
        <f>F26+F27+F28+F29+F30+F31+F32+F34+E18</f>
        <v>2146296.5270707072</v>
      </c>
      <c r="F39" s="260"/>
      <c r="G39" s="228">
        <f>F33+G18</f>
        <v>933805.66292929277</v>
      </c>
      <c r="H39" s="229"/>
      <c r="I39" s="172"/>
      <c r="J39" s="173"/>
      <c r="K39" s="52"/>
      <c r="L39" s="52"/>
      <c r="M39" s="306"/>
    </row>
    <row r="40" spans="2:14">
      <c r="B40" s="164" t="s">
        <v>12</v>
      </c>
      <c r="C40" s="224">
        <f>E40+G40</f>
        <v>2644780.921355932</v>
      </c>
      <c r="D40" s="261"/>
      <c r="E40" s="224">
        <f>E19+N27+239079.08</f>
        <v>1842029.0049152544</v>
      </c>
      <c r="F40" s="261"/>
      <c r="G40" s="224">
        <f>G19+N29+117737.43</f>
        <v>802751.91644067783</v>
      </c>
      <c r="H40" s="262"/>
      <c r="I40" s="172"/>
      <c r="J40" s="174"/>
      <c r="K40" s="54"/>
      <c r="L40" s="52"/>
      <c r="M40" s="306"/>
    </row>
    <row r="41" spans="2:14" ht="16.5" thickBot="1">
      <c r="B41" s="165" t="s">
        <v>89</v>
      </c>
      <c r="C41" s="254">
        <f>E41+G41</f>
        <v>2888019.5019</v>
      </c>
      <c r="D41" s="256"/>
      <c r="E41" s="254">
        <f>G26+G27+G28+G29+G30+G31+G32+G34+E20</f>
        <v>2129681.5019</v>
      </c>
      <c r="F41" s="256"/>
      <c r="G41" s="254">
        <f>G33+G20</f>
        <v>758338</v>
      </c>
      <c r="H41" s="255"/>
      <c r="I41" s="172"/>
      <c r="J41" s="51"/>
      <c r="K41" s="36"/>
      <c r="L41" s="36"/>
    </row>
    <row r="42" spans="2:14" ht="29.25" customHeight="1" thickBot="1">
      <c r="B42" s="166" t="s">
        <v>154</v>
      </c>
      <c r="C42" s="232">
        <f>E42+G42</f>
        <v>-243238.58054406778</v>
      </c>
      <c r="D42" s="233"/>
      <c r="E42" s="234">
        <f>E40-E41</f>
        <v>-287652.49698474561</v>
      </c>
      <c r="F42" s="235"/>
      <c r="G42" s="234">
        <f>G40-G41</f>
        <v>44413.916440677829</v>
      </c>
      <c r="H42" s="236"/>
      <c r="I42" s="175"/>
      <c r="J42" s="159"/>
      <c r="K42" s="36"/>
      <c r="L42" s="36"/>
    </row>
    <row r="43" spans="2:14" ht="18" customHeight="1">
      <c r="B43" s="82"/>
      <c r="C43" s="157"/>
      <c r="D43" s="157"/>
      <c r="E43" s="159"/>
      <c r="F43" s="159"/>
      <c r="G43" s="159"/>
      <c r="H43" s="159"/>
      <c r="I43" s="211"/>
      <c r="J43" s="211"/>
      <c r="K43" s="3"/>
      <c r="L43" s="3"/>
      <c r="M43" s="304"/>
      <c r="N43" s="304"/>
    </row>
    <row r="44" spans="2:14" ht="15" customHeight="1">
      <c r="B44" s="55" t="s">
        <v>78</v>
      </c>
      <c r="C44" s="237" t="s">
        <v>157</v>
      </c>
      <c r="D44" s="237"/>
      <c r="E44" s="237"/>
      <c r="F44" s="252" t="s">
        <v>13</v>
      </c>
      <c r="G44" s="252"/>
      <c r="H44" s="55"/>
      <c r="I44" s="212"/>
      <c r="J44" s="212"/>
      <c r="K44" s="3"/>
      <c r="L44" s="3"/>
      <c r="M44" s="304"/>
      <c r="N44" s="304"/>
    </row>
    <row r="45" spans="2:14" ht="11.25" customHeight="1">
      <c r="B45" s="55"/>
      <c r="C45" s="56"/>
      <c r="D45" s="56"/>
      <c r="E45" s="220"/>
      <c r="F45" s="253"/>
      <c r="G45" s="253"/>
      <c r="H45" s="55"/>
      <c r="I45" s="211"/>
      <c r="J45" s="211"/>
      <c r="K45" s="3"/>
      <c r="L45" s="3"/>
      <c r="M45" s="304"/>
      <c r="N45" s="304"/>
    </row>
    <row r="46" spans="2:14" ht="14.25" customHeight="1">
      <c r="B46" s="55" t="s">
        <v>79</v>
      </c>
      <c r="C46" s="237" t="s">
        <v>157</v>
      </c>
      <c r="D46" s="237"/>
      <c r="E46" s="237"/>
      <c r="F46" s="252" t="s">
        <v>94</v>
      </c>
      <c r="G46" s="252"/>
      <c r="H46" s="55"/>
      <c r="I46" s="211"/>
      <c r="J46" s="211"/>
    </row>
    <row r="47" spans="2:14" ht="9.75" customHeight="1">
      <c r="B47" s="55"/>
      <c r="C47" s="56"/>
      <c r="D47" s="56"/>
      <c r="E47" s="220"/>
      <c r="F47" s="252"/>
      <c r="G47" s="252"/>
      <c r="H47" s="55"/>
      <c r="I47" s="211"/>
      <c r="J47" s="211"/>
    </row>
    <row r="48" spans="2:14" ht="13.5" customHeight="1">
      <c r="B48" s="55" t="s">
        <v>80</v>
      </c>
      <c r="C48" s="237" t="s">
        <v>158</v>
      </c>
      <c r="D48" s="237"/>
      <c r="E48" s="237"/>
      <c r="F48" s="252" t="s">
        <v>96</v>
      </c>
      <c r="G48" s="252"/>
      <c r="H48" s="55"/>
      <c r="I48" s="60"/>
      <c r="J48" s="60"/>
    </row>
    <row r="49" spans="2:8" ht="9" customHeight="1">
      <c r="B49" s="57"/>
      <c r="C49" s="58"/>
      <c r="D49" s="58"/>
      <c r="E49" s="220"/>
      <c r="F49" s="59"/>
      <c r="G49" s="57"/>
      <c r="H49" s="60"/>
    </row>
    <row r="50" spans="2:8" ht="14.25" customHeight="1">
      <c r="B50" s="55" t="s">
        <v>81</v>
      </c>
      <c r="C50" s="237" t="s">
        <v>158</v>
      </c>
      <c r="D50" s="237"/>
      <c r="E50" s="237"/>
      <c r="F50" s="252" t="s">
        <v>96</v>
      </c>
      <c r="G50" s="252"/>
      <c r="H50" s="55"/>
    </row>
    <row r="51" spans="2:8">
      <c r="E51" s="210"/>
    </row>
  </sheetData>
  <mergeCells count="57">
    <mergeCell ref="C50:E50"/>
    <mergeCell ref="C21:D21"/>
    <mergeCell ref="E21:F21"/>
    <mergeCell ref="G21:H21"/>
    <mergeCell ref="M23:M24"/>
    <mergeCell ref="E42:F42"/>
    <mergeCell ref="F50:G50"/>
    <mergeCell ref="F46:G46"/>
    <mergeCell ref="F47:G47"/>
    <mergeCell ref="C46:E46"/>
    <mergeCell ref="C48:E48"/>
    <mergeCell ref="F48:G48"/>
    <mergeCell ref="F45:G45"/>
    <mergeCell ref="C39:D39"/>
    <mergeCell ref="C40:D40"/>
    <mergeCell ref="C41:D41"/>
    <mergeCell ref="N23:N24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F44:G44"/>
    <mergeCell ref="E41:F41"/>
    <mergeCell ref="E38:F38"/>
    <mergeCell ref="G38:H38"/>
    <mergeCell ref="E39:F39"/>
    <mergeCell ref="G39:H39"/>
    <mergeCell ref="G40:H40"/>
    <mergeCell ref="E40:F40"/>
    <mergeCell ref="C44:E44"/>
    <mergeCell ref="G42:H42"/>
    <mergeCell ref="C38:D38"/>
    <mergeCell ref="C42:D42"/>
    <mergeCell ref="B2:H2"/>
    <mergeCell ref="B3:H3"/>
    <mergeCell ref="B4:H4"/>
    <mergeCell ref="B1:H1"/>
    <mergeCell ref="G41:H41"/>
    <mergeCell ref="B37:H37"/>
    <mergeCell ref="D8:E8"/>
    <mergeCell ref="B23:H23"/>
    <mergeCell ref="B24:B25"/>
    <mergeCell ref="C24:C25"/>
    <mergeCell ref="B5:H6"/>
    <mergeCell ref="F24:G24"/>
    <mergeCell ref="H24:H25"/>
    <mergeCell ref="D24:D25"/>
    <mergeCell ref="E24:E25"/>
    <mergeCell ref="B16:H16"/>
  </mergeCells>
  <printOptions horizontalCentered="1"/>
  <pageMargins left="0.19685039370078741" right="0.19685039370078741" top="0.15748031496062992" bottom="0.15748031496062992" header="0.15748031496062992" footer="0.23622047244094491"/>
  <pageSetup paperSize="9" scale="4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1" sqref="F1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4"/>
  <sheetViews>
    <sheetView topLeftCell="E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5.140625" style="17" customWidth="1"/>
    <col min="4" max="4" width="8.85546875" style="4" customWidth="1"/>
    <col min="5" max="5" width="9.85546875" style="4" customWidth="1"/>
    <col min="6" max="6" width="9.85546875" style="1" customWidth="1"/>
    <col min="7" max="7" width="10.28515625" style="1" customWidth="1"/>
    <col min="8" max="8" width="10.5703125" style="1" customWidth="1"/>
    <col min="9" max="9" width="14.7109375" style="1" customWidth="1"/>
    <col min="10" max="10" width="14" style="1" customWidth="1"/>
    <col min="11" max="12" width="9.140625" style="1"/>
    <col min="13" max="13" width="20.7109375" style="298" customWidth="1"/>
    <col min="14" max="14" width="24.5703125" style="298" customWidth="1"/>
    <col min="15" max="16384" width="9.140625" style="1"/>
  </cols>
  <sheetData>
    <row r="1" spans="1:9">
      <c r="B1" s="221" t="s">
        <v>126</v>
      </c>
      <c r="C1" s="221"/>
      <c r="D1" s="221"/>
      <c r="E1" s="221"/>
      <c r="F1" s="221"/>
      <c r="G1" s="221"/>
      <c r="H1" s="221"/>
    </row>
    <row r="2" spans="1:9">
      <c r="B2" s="221" t="s">
        <v>127</v>
      </c>
      <c r="C2" s="221"/>
      <c r="D2" s="221"/>
      <c r="E2" s="221"/>
      <c r="F2" s="221"/>
      <c r="G2" s="221"/>
      <c r="H2" s="221"/>
    </row>
    <row r="3" spans="1:9">
      <c r="B3" s="221" t="s">
        <v>161</v>
      </c>
      <c r="C3" s="221"/>
      <c r="D3" s="221"/>
      <c r="E3" s="221"/>
      <c r="F3" s="221"/>
      <c r="G3" s="221"/>
      <c r="H3" s="221"/>
    </row>
    <row r="4" spans="1:9" ht="13.5" customHeight="1">
      <c r="B4" s="221" t="s">
        <v>191</v>
      </c>
      <c r="C4" s="221"/>
      <c r="D4" s="221"/>
      <c r="E4" s="221"/>
      <c r="F4" s="221"/>
      <c r="G4" s="221"/>
      <c r="H4" s="221"/>
    </row>
    <row r="5" spans="1:9" ht="8.25" customHeight="1">
      <c r="B5" s="200"/>
      <c r="C5" s="200"/>
      <c r="D5" s="200"/>
      <c r="E5" s="200"/>
      <c r="F5" s="200"/>
      <c r="G5" s="200"/>
      <c r="H5" s="200"/>
    </row>
    <row r="6" spans="1:9" ht="15.75" customHeight="1">
      <c r="A6" s="16"/>
      <c r="B6" s="238" t="s">
        <v>184</v>
      </c>
      <c r="C6" s="238"/>
      <c r="D6" s="238"/>
      <c r="E6" s="238"/>
      <c r="F6" s="238"/>
      <c r="G6" s="238"/>
      <c r="H6" s="238"/>
    </row>
    <row r="7" spans="1:9" ht="21.75" customHeight="1">
      <c r="A7" s="16"/>
      <c r="B7" s="238"/>
      <c r="C7" s="238"/>
      <c r="D7" s="238"/>
      <c r="E7" s="238"/>
      <c r="F7" s="238"/>
      <c r="G7" s="238"/>
      <c r="H7" s="238"/>
    </row>
    <row r="8" spans="1:9" ht="9.75" customHeight="1"/>
    <row r="9" spans="1:9" ht="13.5" customHeight="1">
      <c r="B9" s="176" t="s">
        <v>0</v>
      </c>
      <c r="C9" s="177"/>
      <c r="D9" s="245" t="s">
        <v>20</v>
      </c>
      <c r="E9" s="245"/>
    </row>
    <row r="10" spans="1:9" ht="15" customHeight="1">
      <c r="B10" s="176" t="s">
        <v>1</v>
      </c>
      <c r="C10" s="177"/>
      <c r="D10" s="201">
        <v>1990</v>
      </c>
      <c r="E10" s="201"/>
    </row>
    <row r="11" spans="1:9" hidden="1" outlineLevel="1">
      <c r="B11" s="176" t="s">
        <v>2</v>
      </c>
      <c r="C11" s="177"/>
      <c r="D11" s="201">
        <v>5</v>
      </c>
      <c r="E11" s="201"/>
    </row>
    <row r="12" spans="1:9" hidden="1" outlineLevel="1">
      <c r="B12" s="176" t="s">
        <v>3</v>
      </c>
      <c r="C12" s="177"/>
      <c r="D12" s="201">
        <v>62</v>
      </c>
      <c r="E12" s="201"/>
    </row>
    <row r="13" spans="1:9" ht="30.75" hidden="1" customHeight="1" outlineLevel="1">
      <c r="B13" s="178" t="s">
        <v>4</v>
      </c>
      <c r="C13" s="179"/>
      <c r="D13" s="201" t="s">
        <v>21</v>
      </c>
      <c r="E13" s="201"/>
    </row>
    <row r="14" spans="1:9" ht="16.5" customHeight="1" collapsed="1">
      <c r="B14" s="176" t="s">
        <v>5</v>
      </c>
      <c r="C14" s="177"/>
      <c r="D14" s="201" t="s">
        <v>105</v>
      </c>
      <c r="E14" s="201"/>
      <c r="I14" s="7"/>
    </row>
    <row r="15" spans="1:9" hidden="1" outlineLevel="1">
      <c r="B15" s="1" t="s">
        <v>6</v>
      </c>
      <c r="D15" s="169" t="s">
        <v>7</v>
      </c>
      <c r="E15" s="169"/>
    </row>
    <row r="16" spans="1:9" ht="30.75" hidden="1" customHeight="1" outlineLevel="1">
      <c r="B16" s="18" t="s">
        <v>8</v>
      </c>
      <c r="C16" s="19"/>
      <c r="D16" s="202" t="s">
        <v>19</v>
      </c>
      <c r="E16" s="169"/>
      <c r="I16" s="7"/>
    </row>
    <row r="17" spans="2:14" ht="18" customHeight="1" collapsed="1" thickBot="1">
      <c r="B17" s="250" t="s">
        <v>182</v>
      </c>
      <c r="C17" s="250"/>
      <c r="D17" s="250"/>
      <c r="E17" s="250"/>
      <c r="F17" s="250"/>
      <c r="G17" s="250"/>
      <c r="H17" s="250"/>
      <c r="I17" s="7"/>
    </row>
    <row r="18" spans="2:14" ht="45" customHeight="1" thickBot="1">
      <c r="B18" s="193" t="s">
        <v>183</v>
      </c>
      <c r="C18" s="230" t="s">
        <v>103</v>
      </c>
      <c r="D18" s="231"/>
      <c r="E18" s="257" t="s">
        <v>9</v>
      </c>
      <c r="F18" s="258"/>
      <c r="G18" s="257" t="s">
        <v>10</v>
      </c>
      <c r="H18" s="259"/>
      <c r="I18" s="7"/>
    </row>
    <row r="19" spans="2:14">
      <c r="B19" s="163" t="s">
        <v>11</v>
      </c>
      <c r="C19" s="222">
        <v>3445047.9899999993</v>
      </c>
      <c r="D19" s="223"/>
      <c r="E19" s="228">
        <v>2467229.4799999995</v>
      </c>
      <c r="F19" s="260"/>
      <c r="G19" s="228">
        <v>977818.51</v>
      </c>
      <c r="H19" s="229"/>
      <c r="I19" s="7"/>
    </row>
    <row r="20" spans="2:14">
      <c r="B20" s="164" t="s">
        <v>12</v>
      </c>
      <c r="C20" s="224">
        <v>3076314.87</v>
      </c>
      <c r="D20" s="225"/>
      <c r="E20" s="224">
        <v>2202881.5</v>
      </c>
      <c r="F20" s="261"/>
      <c r="G20" s="224">
        <v>873433.37</v>
      </c>
      <c r="H20" s="262"/>
      <c r="I20" s="7"/>
    </row>
    <row r="21" spans="2:14" ht="16.5" thickBot="1">
      <c r="B21" s="165" t="s">
        <v>89</v>
      </c>
      <c r="C21" s="226">
        <v>3683825.0158500001</v>
      </c>
      <c r="D21" s="227"/>
      <c r="E21" s="254">
        <v>2488068.0158500001</v>
      </c>
      <c r="F21" s="256"/>
      <c r="G21" s="254">
        <v>1195757</v>
      </c>
      <c r="H21" s="255"/>
      <c r="I21" s="7"/>
    </row>
    <row r="22" spans="2:14" ht="32.25" customHeight="1" thickBot="1">
      <c r="B22" s="166" t="s">
        <v>153</v>
      </c>
      <c r="C22" s="232">
        <f>E22+G22</f>
        <v>-607510.14585000009</v>
      </c>
      <c r="D22" s="233"/>
      <c r="E22" s="234">
        <f>E20-E21</f>
        <v>-285186.51585000008</v>
      </c>
      <c r="F22" s="235"/>
      <c r="G22" s="234">
        <f>G20-G21</f>
        <v>-322323.63</v>
      </c>
      <c r="H22" s="236"/>
      <c r="I22" s="7"/>
    </row>
    <row r="23" spans="2:14" ht="12.75" customHeight="1">
      <c r="B23" s="18"/>
      <c r="C23" s="19"/>
      <c r="D23" s="202"/>
      <c r="E23" s="169"/>
      <c r="I23" s="7"/>
    </row>
    <row r="24" spans="2:14" ht="32.25" customHeight="1" thickBot="1">
      <c r="B24" s="247" t="s">
        <v>185</v>
      </c>
      <c r="C24" s="247"/>
      <c r="D24" s="247"/>
      <c r="E24" s="247"/>
      <c r="F24" s="247"/>
      <c r="G24" s="247"/>
      <c r="H24" s="247"/>
      <c r="L24" s="7"/>
      <c r="M24" s="299" t="s">
        <v>155</v>
      </c>
      <c r="N24" s="299" t="s">
        <v>156</v>
      </c>
    </row>
    <row r="25" spans="2:14" ht="30" customHeight="1">
      <c r="B25" s="273" t="s">
        <v>95</v>
      </c>
      <c r="C25" s="271" t="s">
        <v>97</v>
      </c>
      <c r="D25" s="271" t="s">
        <v>120</v>
      </c>
      <c r="E25" s="248" t="s">
        <v>186</v>
      </c>
      <c r="F25" s="267" t="s">
        <v>98</v>
      </c>
      <c r="G25" s="268"/>
      <c r="H25" s="239" t="s">
        <v>129</v>
      </c>
      <c r="L25" s="7"/>
      <c r="M25" s="300"/>
      <c r="N25" s="300"/>
    </row>
    <row r="26" spans="2:14" s="198" customFormat="1" ht="54" customHeight="1" thickBot="1">
      <c r="B26" s="274"/>
      <c r="C26" s="272"/>
      <c r="D26" s="272"/>
      <c r="E26" s="249"/>
      <c r="F26" s="20" t="s">
        <v>82</v>
      </c>
      <c r="G26" s="21" t="s">
        <v>83</v>
      </c>
      <c r="H26" s="240"/>
      <c r="I26" s="1"/>
      <c r="J26" s="1"/>
      <c r="K26" s="1"/>
      <c r="L26" s="1"/>
      <c r="M26" s="301">
        <v>387333.03</v>
      </c>
      <c r="N26" s="301">
        <f>387333.03*1.01</f>
        <v>391206.36030000006</v>
      </c>
    </row>
    <row r="27" spans="2:14" s="3" customFormat="1" ht="41.25" customHeight="1">
      <c r="B27" s="22" t="s">
        <v>87</v>
      </c>
      <c r="C27" s="23" t="s">
        <v>99</v>
      </c>
      <c r="D27" s="24" t="s">
        <v>100</v>
      </c>
      <c r="E27" s="25">
        <v>1.06</v>
      </c>
      <c r="F27" s="26">
        <f t="shared" ref="F27:F32" si="0">$M$26/$M$27*E27</f>
        <v>40370.99427728614</v>
      </c>
      <c r="G27" s="27">
        <f>$N$26/$N$27*E27</f>
        <v>41261.566360000004</v>
      </c>
      <c r="H27" s="28">
        <f>F27-G27</f>
        <v>-890.5720827138648</v>
      </c>
      <c r="I27" s="67"/>
      <c r="J27" s="198"/>
      <c r="K27" s="198"/>
      <c r="L27" s="30"/>
      <c r="M27" s="303">
        <f>E37-E34</f>
        <v>10.17</v>
      </c>
      <c r="N27" s="303">
        <v>10.050000000000001</v>
      </c>
    </row>
    <row r="28" spans="2:14" ht="51">
      <c r="B28" s="31" t="s">
        <v>91</v>
      </c>
      <c r="C28" s="23" t="s">
        <v>99</v>
      </c>
      <c r="D28" s="24" t="s">
        <v>100</v>
      </c>
      <c r="E28" s="32">
        <v>1.19</v>
      </c>
      <c r="F28" s="26">
        <f t="shared" si="0"/>
        <v>45322.153952802357</v>
      </c>
      <c r="G28" s="27">
        <f t="shared" ref="G28:G32" si="1">$N$26/$N$27*E28</f>
        <v>46321.947139999997</v>
      </c>
      <c r="H28" s="28">
        <f t="shared" ref="H28:H33" si="2">F28-G28</f>
        <v>-999.79318719763978</v>
      </c>
      <c r="I28" s="34"/>
      <c r="J28" s="3"/>
      <c r="K28" s="3"/>
      <c r="L28" s="3"/>
      <c r="M28" s="304"/>
      <c r="N28" s="304"/>
    </row>
    <row r="29" spans="2:14" ht="29.25" customHeight="1">
      <c r="B29" s="35" t="s">
        <v>84</v>
      </c>
      <c r="C29" s="23" t="s">
        <v>99</v>
      </c>
      <c r="D29" s="24" t="s">
        <v>100</v>
      </c>
      <c r="E29" s="32">
        <v>0.32</v>
      </c>
      <c r="F29" s="26">
        <f t="shared" si="0"/>
        <v>12187.469970501475</v>
      </c>
      <c r="G29" s="27">
        <f t="shared" si="1"/>
        <v>12456.32192</v>
      </c>
      <c r="H29" s="28">
        <f t="shared" si="2"/>
        <v>-268.85194949852485</v>
      </c>
      <c r="I29" s="36"/>
      <c r="L29" s="7"/>
    </row>
    <row r="30" spans="2:14" ht="27.75" customHeight="1">
      <c r="B30" s="35" t="s">
        <v>85</v>
      </c>
      <c r="C30" s="37" t="s">
        <v>101</v>
      </c>
      <c r="D30" s="24" t="s">
        <v>100</v>
      </c>
      <c r="E30" s="32">
        <v>0.1</v>
      </c>
      <c r="F30" s="26">
        <f t="shared" si="0"/>
        <v>3808.5843657817113</v>
      </c>
      <c r="G30" s="27">
        <f t="shared" si="1"/>
        <v>3892.6006000000002</v>
      </c>
      <c r="H30" s="28">
        <f t="shared" si="2"/>
        <v>-84.016234218288901</v>
      </c>
      <c r="I30" s="36"/>
      <c r="L30" s="7"/>
    </row>
    <row r="31" spans="2:14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44941.295516224185</v>
      </c>
      <c r="G31" s="27">
        <f t="shared" si="1"/>
        <v>45932.687079999996</v>
      </c>
      <c r="H31" s="28">
        <f t="shared" si="2"/>
        <v>-991.39156377581094</v>
      </c>
      <c r="I31" s="36"/>
    </row>
    <row r="32" spans="2:14" s="3" customFormat="1" ht="213" customHeight="1">
      <c r="B32" s="31" t="s">
        <v>146</v>
      </c>
      <c r="C32" s="23" t="s">
        <v>102</v>
      </c>
      <c r="D32" s="24" t="s">
        <v>100</v>
      </c>
      <c r="E32" s="32">
        <v>5.61</v>
      </c>
      <c r="F32" s="26">
        <f t="shared" si="0"/>
        <v>213661.58292035401</v>
      </c>
      <c r="G32" s="27">
        <f t="shared" si="1"/>
        <v>218374.89366000003</v>
      </c>
      <c r="H32" s="28">
        <f t="shared" si="2"/>
        <v>-4713.3107396460255</v>
      </c>
      <c r="I32" s="34"/>
      <c r="L32" s="6"/>
      <c r="M32" s="304"/>
      <c r="N32" s="304"/>
    </row>
    <row r="33" spans="2:14" ht="113.45" customHeight="1">
      <c r="B33" s="31" t="s">
        <v>104</v>
      </c>
      <c r="C33" s="23" t="s">
        <v>99</v>
      </c>
      <c r="D33" s="24" t="s">
        <v>100</v>
      </c>
      <c r="E33" s="32">
        <v>0.24</v>
      </c>
      <c r="F33" s="26">
        <f>$M$26/$M$27*E33</f>
        <v>9140.6024778761057</v>
      </c>
      <c r="G33" s="27">
        <f>$N$26/$N$27*E33</f>
        <v>9342.2414399999998</v>
      </c>
      <c r="H33" s="28">
        <f t="shared" si="2"/>
        <v>-201.63896212389409</v>
      </c>
      <c r="I33" s="36"/>
    </row>
    <row r="34" spans="2:14" ht="27.75" customHeight="1">
      <c r="B34" s="35" t="s">
        <v>92</v>
      </c>
      <c r="C34" s="23" t="s">
        <v>99</v>
      </c>
      <c r="D34" s="24" t="s">
        <v>100</v>
      </c>
      <c r="E34" s="32">
        <v>6.08</v>
      </c>
      <c r="F34" s="26">
        <v>231561.93</v>
      </c>
      <c r="G34" s="33">
        <v>88658</v>
      </c>
      <c r="H34" s="28">
        <f>F34-G34</f>
        <v>142903.93</v>
      </c>
      <c r="I34" s="36"/>
      <c r="L34" s="7"/>
    </row>
    <row r="35" spans="2:14">
      <c r="B35" s="35" t="s">
        <v>93</v>
      </c>
      <c r="C35" s="37" t="s">
        <v>101</v>
      </c>
      <c r="D35" s="24" t="s">
        <v>100</v>
      </c>
      <c r="E35" s="32">
        <v>0.27</v>
      </c>
      <c r="F35" s="26">
        <f>$M$26/$M$27*E35</f>
        <v>10283.177787610621</v>
      </c>
      <c r="G35" s="27">
        <f>$N$26/$N$27*E35</f>
        <v>10510.021620000001</v>
      </c>
      <c r="H35" s="28">
        <f t="shared" ref="H35:H36" si="3">F35-G35</f>
        <v>-226.84383238938062</v>
      </c>
      <c r="I35" s="36"/>
      <c r="J35" s="68"/>
      <c r="K35" s="68"/>
      <c r="L35" s="7"/>
      <c r="M35" s="305"/>
    </row>
    <row r="36" spans="2:14" ht="16.5" thickBot="1">
      <c r="B36" s="66" t="s">
        <v>86</v>
      </c>
      <c r="C36" s="39" t="s">
        <v>102</v>
      </c>
      <c r="D36" s="40" t="s">
        <v>100</v>
      </c>
      <c r="E36" s="41">
        <v>0.2</v>
      </c>
      <c r="F36" s="26">
        <f>$M$26/$M$27*E36</f>
        <v>7617.1687315634226</v>
      </c>
      <c r="G36" s="27">
        <f>$N$26/$N$27*E36</f>
        <v>7785.2012000000004</v>
      </c>
      <c r="H36" s="28">
        <f t="shared" si="3"/>
        <v>-168.0324684365778</v>
      </c>
      <c r="I36" s="36"/>
    </row>
    <row r="37" spans="2:14" s="70" customFormat="1" ht="18" customHeight="1" thickBot="1">
      <c r="B37" s="42" t="s">
        <v>90</v>
      </c>
      <c r="C37" s="43"/>
      <c r="D37" s="43"/>
      <c r="E37" s="44">
        <f>SUM(E27:E36)</f>
        <v>16.25</v>
      </c>
      <c r="F37" s="45">
        <f>SUM(F27:F36)</f>
        <v>618894.95999999985</v>
      </c>
      <c r="G37" s="46">
        <f>SUM(G27:G36)</f>
        <v>484535.48102000006</v>
      </c>
      <c r="H37" s="47">
        <f>SUM(H27:H36)</f>
        <v>134359.47897999999</v>
      </c>
      <c r="I37" s="69"/>
      <c r="J37" s="1"/>
      <c r="K37" s="1"/>
      <c r="L37" s="1"/>
      <c r="M37" s="298"/>
      <c r="N37" s="298"/>
    </row>
    <row r="38" spans="2:14" s="4" customFormat="1">
      <c r="B38" s="7"/>
      <c r="C38" s="7"/>
      <c r="D38" s="7"/>
      <c r="E38" s="17"/>
      <c r="F38" s="17"/>
      <c r="G38" s="17"/>
      <c r="I38" s="1"/>
      <c r="J38" s="1"/>
      <c r="K38" s="1"/>
      <c r="L38" s="1"/>
      <c r="M38" s="298"/>
      <c r="N38" s="298"/>
    </row>
    <row r="39" spans="2:14" ht="16.5" customHeight="1" thickBot="1">
      <c r="B39" s="250" t="s">
        <v>187</v>
      </c>
      <c r="C39" s="250"/>
      <c r="D39" s="250"/>
      <c r="E39" s="250"/>
      <c r="F39" s="250"/>
      <c r="G39" s="250"/>
      <c r="H39" s="250"/>
      <c r="I39" s="48"/>
      <c r="J39" s="48"/>
    </row>
    <row r="40" spans="2:14" ht="47.25" customHeight="1" thickBot="1">
      <c r="B40" s="193" t="s">
        <v>188</v>
      </c>
      <c r="C40" s="230" t="s">
        <v>103</v>
      </c>
      <c r="D40" s="231"/>
      <c r="E40" s="257" t="s">
        <v>9</v>
      </c>
      <c r="F40" s="258"/>
      <c r="G40" s="257" t="s">
        <v>10</v>
      </c>
      <c r="H40" s="259"/>
      <c r="I40" s="182"/>
      <c r="J40" s="171"/>
      <c r="K40" s="49"/>
      <c r="L40" s="50"/>
      <c r="M40" s="305"/>
      <c r="N40" s="305"/>
    </row>
    <row r="41" spans="2:14">
      <c r="B41" s="163" t="s">
        <v>11</v>
      </c>
      <c r="C41" s="228">
        <f>E41+G41</f>
        <v>4063942.9499999997</v>
      </c>
      <c r="D41" s="260"/>
      <c r="E41" s="228">
        <f>F27+F28+F31+F32+F33+F35+F36+E19+F29+F30</f>
        <v>2854562.51</v>
      </c>
      <c r="F41" s="260"/>
      <c r="G41" s="228">
        <f>F34+G19</f>
        <v>1209380.44</v>
      </c>
      <c r="H41" s="229"/>
      <c r="I41" s="172"/>
      <c r="J41" s="173"/>
      <c r="K41" s="53"/>
      <c r="L41" s="52"/>
      <c r="M41" s="306"/>
    </row>
    <row r="42" spans="2:14">
      <c r="B42" s="164" t="s">
        <v>12</v>
      </c>
      <c r="C42" s="224">
        <f>E42+G42</f>
        <v>3665712.8899999997</v>
      </c>
      <c r="D42" s="261"/>
      <c r="E42" s="224">
        <f>E20+368872.48</f>
        <v>2571753.98</v>
      </c>
      <c r="F42" s="261"/>
      <c r="G42" s="224">
        <f>G20+220525.54</f>
        <v>1093958.9099999999</v>
      </c>
      <c r="H42" s="262"/>
      <c r="I42" s="172"/>
      <c r="J42" s="174"/>
      <c r="K42" s="54"/>
      <c r="L42" s="52"/>
      <c r="M42" s="306"/>
    </row>
    <row r="43" spans="2:14" s="3" customFormat="1" ht="16.5" thickBot="1">
      <c r="B43" s="165" t="s">
        <v>89</v>
      </c>
      <c r="C43" s="254">
        <f>E43+G43</f>
        <v>4168360.4968699999</v>
      </c>
      <c r="D43" s="256"/>
      <c r="E43" s="254">
        <f>G27+G28+G29+G30+G31+G32+G33+G35+G36+E21</f>
        <v>2883945.4968699999</v>
      </c>
      <c r="F43" s="256"/>
      <c r="G43" s="254">
        <f>G34+G21</f>
        <v>1284415</v>
      </c>
      <c r="H43" s="255"/>
      <c r="I43" s="172"/>
      <c r="J43" s="51"/>
      <c r="K43" s="36"/>
      <c r="L43" s="36"/>
      <c r="M43" s="298"/>
      <c r="N43" s="298"/>
    </row>
    <row r="44" spans="2:14" s="3" customFormat="1" ht="26.25" customHeight="1" thickBot="1">
      <c r="B44" s="166" t="s">
        <v>154</v>
      </c>
      <c r="C44" s="232">
        <f>E44+G44</f>
        <v>-502647.60687000002</v>
      </c>
      <c r="D44" s="233"/>
      <c r="E44" s="234">
        <f>E42-E43</f>
        <v>-312191.51686999993</v>
      </c>
      <c r="F44" s="235"/>
      <c r="G44" s="234">
        <f>G42-G43</f>
        <v>-190456.09000000008</v>
      </c>
      <c r="H44" s="236"/>
      <c r="I44" s="175"/>
      <c r="J44" s="159"/>
      <c r="K44" s="36"/>
      <c r="L44" s="36"/>
      <c r="M44" s="298"/>
      <c r="N44" s="298"/>
    </row>
    <row r="45" spans="2:14" s="3" customFormat="1" ht="15.75" customHeight="1">
      <c r="B45" s="82"/>
      <c r="C45" s="157"/>
      <c r="D45" s="157"/>
      <c r="E45" s="159"/>
      <c r="F45" s="159"/>
      <c r="G45" s="159"/>
      <c r="H45" s="159"/>
      <c r="I45" s="53"/>
      <c r="J45" s="53"/>
      <c r="K45" s="36"/>
      <c r="L45" s="36"/>
      <c r="M45" s="298"/>
      <c r="N45" s="298"/>
    </row>
    <row r="46" spans="2:14" s="3" customFormat="1" ht="14.25" customHeight="1">
      <c r="B46" s="55" t="s">
        <v>78</v>
      </c>
      <c r="C46" s="237" t="s">
        <v>157</v>
      </c>
      <c r="D46" s="237"/>
      <c r="E46" s="237"/>
      <c r="F46" s="252" t="s">
        <v>13</v>
      </c>
      <c r="G46" s="252"/>
      <c r="H46" s="55"/>
      <c r="I46" s="55"/>
      <c r="M46" s="304"/>
      <c r="N46" s="304"/>
    </row>
    <row r="47" spans="2:14" ht="10.5" customHeight="1">
      <c r="B47" s="55"/>
      <c r="C47" s="56"/>
      <c r="D47" s="56"/>
      <c r="E47" s="205"/>
      <c r="F47" s="253"/>
      <c r="G47" s="253"/>
      <c r="H47" s="55"/>
      <c r="I47" s="55"/>
      <c r="J47" s="3"/>
      <c r="K47" s="3"/>
      <c r="L47" s="3"/>
      <c r="M47" s="304"/>
      <c r="N47" s="304"/>
    </row>
    <row r="48" spans="2:14" ht="12" customHeight="1">
      <c r="B48" s="55" t="s">
        <v>79</v>
      </c>
      <c r="C48" s="237" t="s">
        <v>157</v>
      </c>
      <c r="D48" s="237"/>
      <c r="E48" s="237"/>
      <c r="F48" s="252" t="s">
        <v>94</v>
      </c>
      <c r="G48" s="252"/>
      <c r="H48" s="55"/>
      <c r="I48" s="55"/>
      <c r="J48" s="3"/>
      <c r="K48" s="3"/>
      <c r="L48" s="3"/>
      <c r="M48" s="304"/>
      <c r="N48" s="304"/>
    </row>
    <row r="49" spans="2:9" ht="8.25" customHeight="1">
      <c r="B49" s="55"/>
      <c r="C49" s="56"/>
      <c r="D49" s="56"/>
      <c r="E49" s="205"/>
      <c r="F49" s="252"/>
      <c r="G49" s="252"/>
      <c r="H49" s="55"/>
      <c r="I49" s="55"/>
    </row>
    <row r="50" spans="2:9" ht="12.75" customHeight="1">
      <c r="B50" s="55" t="s">
        <v>80</v>
      </c>
      <c r="C50" s="237" t="s">
        <v>158</v>
      </c>
      <c r="D50" s="237"/>
      <c r="E50" s="237"/>
      <c r="F50" s="252" t="s">
        <v>96</v>
      </c>
      <c r="G50" s="252"/>
      <c r="H50" s="55"/>
      <c r="I50" s="55"/>
    </row>
    <row r="51" spans="2:9" ht="8.25" customHeight="1">
      <c r="B51" s="57"/>
      <c r="C51" s="58"/>
      <c r="D51" s="58"/>
      <c r="E51" s="205"/>
      <c r="F51" s="59"/>
      <c r="G51" s="57"/>
      <c r="H51" s="60"/>
      <c r="I51" s="8"/>
    </row>
    <row r="52" spans="2:9" ht="14.25" customHeight="1">
      <c r="B52" s="55" t="s">
        <v>81</v>
      </c>
      <c r="C52" s="237" t="s">
        <v>158</v>
      </c>
      <c r="D52" s="237"/>
      <c r="E52" s="237"/>
      <c r="F52" s="252" t="s">
        <v>96</v>
      </c>
      <c r="G52" s="252"/>
      <c r="H52" s="55"/>
      <c r="I52" s="55"/>
    </row>
    <row r="53" spans="2:9" ht="9.75" customHeight="1">
      <c r="C53" s="1"/>
      <c r="D53" s="1"/>
      <c r="E53" s="205"/>
      <c r="F53" s="251"/>
      <c r="G53" s="251"/>
      <c r="H53" s="4"/>
      <c r="I53" s="4"/>
    </row>
    <row r="54" spans="2:9">
      <c r="C54" s="1"/>
      <c r="D54" s="1"/>
      <c r="E54" s="17"/>
      <c r="F54" s="4"/>
      <c r="G54" s="4"/>
      <c r="H54" s="4"/>
    </row>
  </sheetData>
  <mergeCells count="58">
    <mergeCell ref="C50:E50"/>
    <mergeCell ref="C52:E52"/>
    <mergeCell ref="C22:D22"/>
    <mergeCell ref="E22:F22"/>
    <mergeCell ref="G22:H22"/>
    <mergeCell ref="F47:G47"/>
    <mergeCell ref="M24:M25"/>
    <mergeCell ref="N24:N25"/>
    <mergeCell ref="C20:D20"/>
    <mergeCell ref="E20:F20"/>
    <mergeCell ref="G20:H20"/>
    <mergeCell ref="C21:D21"/>
    <mergeCell ref="E21:F21"/>
    <mergeCell ref="G21:H21"/>
    <mergeCell ref="B17:H17"/>
    <mergeCell ref="C18:D18"/>
    <mergeCell ref="E18:F18"/>
    <mergeCell ref="G18:H18"/>
    <mergeCell ref="C19:D19"/>
    <mergeCell ref="E19:F19"/>
    <mergeCell ref="G19:H19"/>
    <mergeCell ref="B25:B26"/>
    <mergeCell ref="C25:C26"/>
    <mergeCell ref="D25:D26"/>
    <mergeCell ref="E25:E26"/>
    <mergeCell ref="B39:H39"/>
    <mergeCell ref="F53:G53"/>
    <mergeCell ref="F50:G50"/>
    <mergeCell ref="F52:G52"/>
    <mergeCell ref="C40:D40"/>
    <mergeCell ref="C41:D41"/>
    <mergeCell ref="C42:D42"/>
    <mergeCell ref="C43:D43"/>
    <mergeCell ref="C44:D44"/>
    <mergeCell ref="C46:E46"/>
    <mergeCell ref="C48:E48"/>
    <mergeCell ref="G40:H40"/>
    <mergeCell ref="E42:F42"/>
    <mergeCell ref="G42:H42"/>
    <mergeCell ref="F46:G46"/>
    <mergeCell ref="E43:F43"/>
    <mergeCell ref="E44:F44"/>
    <mergeCell ref="B2:H2"/>
    <mergeCell ref="B3:H3"/>
    <mergeCell ref="B4:H4"/>
    <mergeCell ref="B1:H1"/>
    <mergeCell ref="F49:G49"/>
    <mergeCell ref="E41:F41"/>
    <mergeCell ref="G44:H44"/>
    <mergeCell ref="F48:G48"/>
    <mergeCell ref="G41:H41"/>
    <mergeCell ref="G43:H43"/>
    <mergeCell ref="H25:H26"/>
    <mergeCell ref="B6:H7"/>
    <mergeCell ref="D9:E9"/>
    <mergeCell ref="B24:H24"/>
    <mergeCell ref="F25:G25"/>
    <mergeCell ref="E40:F40"/>
  </mergeCells>
  <printOptions horizontalCentered="1"/>
  <pageMargins left="0.19685039370078741" right="0.19685039370078741" top="0.15748031496062992" bottom="0.23622047244094491" header="0.15748031496062992" footer="0.24"/>
  <pageSetup paperSize="9" scale="4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0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4.5703125" style="17" customWidth="1"/>
    <col min="4" max="4" width="8.42578125" style="4" customWidth="1"/>
    <col min="5" max="5" width="10" style="4" customWidth="1"/>
    <col min="6" max="6" width="9.7109375" style="1" customWidth="1"/>
    <col min="7" max="7" width="10.28515625" style="1" customWidth="1"/>
    <col min="8" max="8" width="10.5703125" style="1" customWidth="1"/>
    <col min="9" max="9" width="15" style="1" customWidth="1"/>
    <col min="10" max="10" width="14.28515625" style="1" customWidth="1"/>
    <col min="11" max="11" width="10" style="1" bestFit="1" customWidth="1"/>
    <col min="12" max="12" width="9.140625" style="1"/>
    <col min="13" max="13" width="19.85546875" style="298" customWidth="1"/>
    <col min="14" max="14" width="20.140625" style="298" customWidth="1"/>
    <col min="15" max="16384" width="9.140625" style="1"/>
  </cols>
  <sheetData>
    <row r="1" spans="1:9">
      <c r="B1" s="221" t="s">
        <v>126</v>
      </c>
      <c r="C1" s="221"/>
      <c r="D1" s="221"/>
      <c r="E1" s="221"/>
      <c r="F1" s="221"/>
      <c r="G1" s="221"/>
      <c r="H1" s="221"/>
    </row>
    <row r="2" spans="1:9">
      <c r="B2" s="221" t="s">
        <v>127</v>
      </c>
      <c r="C2" s="221"/>
      <c r="D2" s="221"/>
      <c r="E2" s="221"/>
      <c r="F2" s="221"/>
      <c r="G2" s="221"/>
      <c r="H2" s="221"/>
    </row>
    <row r="3" spans="1:9">
      <c r="B3" s="221" t="s">
        <v>162</v>
      </c>
      <c r="C3" s="221"/>
      <c r="D3" s="221"/>
      <c r="E3" s="221"/>
      <c r="F3" s="221"/>
      <c r="G3" s="221"/>
      <c r="H3" s="221"/>
    </row>
    <row r="4" spans="1:9">
      <c r="B4" s="221" t="s">
        <v>191</v>
      </c>
      <c r="C4" s="221"/>
      <c r="D4" s="221"/>
      <c r="E4" s="221"/>
      <c r="F4" s="221"/>
      <c r="G4" s="221"/>
      <c r="H4" s="221"/>
    </row>
    <row r="5" spans="1:9" ht="19.5" customHeight="1">
      <c r="A5" s="71"/>
      <c r="B5" s="238" t="s">
        <v>184</v>
      </c>
      <c r="C5" s="238"/>
      <c r="D5" s="238"/>
      <c r="E5" s="238"/>
      <c r="F5" s="238"/>
      <c r="G5" s="238"/>
      <c r="H5" s="238"/>
    </row>
    <row r="6" spans="1:9" ht="20.25" customHeight="1">
      <c r="A6" s="71"/>
      <c r="B6" s="238"/>
      <c r="C6" s="238"/>
      <c r="D6" s="238"/>
      <c r="E6" s="238"/>
      <c r="F6" s="238"/>
      <c r="G6" s="238"/>
      <c r="H6" s="238"/>
    </row>
    <row r="7" spans="1:9" ht="8.25" customHeight="1"/>
    <row r="8" spans="1:9">
      <c r="B8" s="8" t="s">
        <v>0</v>
      </c>
      <c r="C8" s="61"/>
      <c r="D8" s="275" t="s">
        <v>22</v>
      </c>
      <c r="E8" s="275"/>
    </row>
    <row r="9" spans="1:9">
      <c r="B9" s="8" t="s">
        <v>1</v>
      </c>
      <c r="C9" s="61"/>
      <c r="D9" s="203">
        <v>1963</v>
      </c>
      <c r="E9" s="203"/>
    </row>
    <row r="10" spans="1:9" hidden="1" outlineLevel="1">
      <c r="B10" s="8" t="s">
        <v>2</v>
      </c>
      <c r="C10" s="61"/>
      <c r="D10" s="203">
        <v>4</v>
      </c>
      <c r="E10" s="203"/>
    </row>
    <row r="11" spans="1:9" hidden="1" outlineLevel="1">
      <c r="B11" s="8" t="s">
        <v>3</v>
      </c>
      <c r="C11" s="61"/>
      <c r="D11" s="203">
        <v>48</v>
      </c>
      <c r="E11" s="203"/>
    </row>
    <row r="12" spans="1:9" ht="30.75" hidden="1" customHeight="1" outlineLevel="1">
      <c r="B12" s="62" t="s">
        <v>4</v>
      </c>
      <c r="C12" s="63"/>
      <c r="D12" s="203" t="s">
        <v>23</v>
      </c>
      <c r="E12" s="203"/>
    </row>
    <row r="13" spans="1:9" collapsed="1">
      <c r="B13" s="8" t="s">
        <v>5</v>
      </c>
      <c r="C13" s="61"/>
      <c r="D13" s="203" t="s">
        <v>106</v>
      </c>
      <c r="E13" s="203"/>
      <c r="I13" s="7"/>
    </row>
    <row r="14" spans="1:9" hidden="1" outlineLevel="1">
      <c r="B14" s="1" t="s">
        <v>6</v>
      </c>
      <c r="D14" s="169" t="s">
        <v>24</v>
      </c>
      <c r="E14" s="169"/>
    </row>
    <row r="15" spans="1:9" ht="30.75" hidden="1" customHeight="1" outlineLevel="1">
      <c r="B15" s="18" t="s">
        <v>8</v>
      </c>
      <c r="C15" s="19"/>
      <c r="D15" s="202" t="s">
        <v>25</v>
      </c>
      <c r="E15" s="169"/>
      <c r="I15" s="7"/>
    </row>
    <row r="16" spans="1:9" ht="15.75" customHeight="1" collapsed="1" thickBot="1">
      <c r="B16" s="250" t="s">
        <v>182</v>
      </c>
      <c r="C16" s="250"/>
      <c r="D16" s="250"/>
      <c r="E16" s="250"/>
      <c r="F16" s="250"/>
      <c r="G16" s="250"/>
      <c r="H16" s="250"/>
      <c r="I16" s="7"/>
    </row>
    <row r="17" spans="2:14" ht="47.2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7"/>
    </row>
    <row r="18" spans="2:14" ht="15.75" customHeight="1">
      <c r="B18" s="163" t="s">
        <v>11</v>
      </c>
      <c r="C18" s="222">
        <v>1978076.62</v>
      </c>
      <c r="D18" s="223"/>
      <c r="E18" s="228">
        <v>1409367.6900203391</v>
      </c>
      <c r="F18" s="260"/>
      <c r="G18" s="228">
        <f>568708.929979661-2417.41</f>
        <v>566291.51997966098</v>
      </c>
      <c r="H18" s="229"/>
      <c r="I18" s="7"/>
    </row>
    <row r="19" spans="2:14" ht="15.75" customHeight="1">
      <c r="B19" s="164" t="s">
        <v>12</v>
      </c>
      <c r="C19" s="224">
        <v>1799850.0499999998</v>
      </c>
      <c r="D19" s="225"/>
      <c r="E19" s="224">
        <v>1283155.803233898</v>
      </c>
      <c r="F19" s="261"/>
      <c r="G19" s="224">
        <f>516694.246766102-614.53</f>
        <v>516079.71676610195</v>
      </c>
      <c r="H19" s="262"/>
      <c r="I19" s="7"/>
    </row>
    <row r="20" spans="2:14" ht="15.75" customHeight="1" thickBot="1">
      <c r="B20" s="165" t="s">
        <v>89</v>
      </c>
      <c r="C20" s="226">
        <v>1843047.8112300001</v>
      </c>
      <c r="D20" s="227"/>
      <c r="E20" s="254">
        <v>1419068.8112300001</v>
      </c>
      <c r="F20" s="256"/>
      <c r="G20" s="254">
        <f>423979+241</f>
        <v>424220</v>
      </c>
      <c r="H20" s="255"/>
      <c r="I20" s="7"/>
    </row>
    <row r="21" spans="2:14" ht="30.75" customHeight="1" thickBot="1">
      <c r="B21" s="166" t="s">
        <v>153</v>
      </c>
      <c r="C21" s="232">
        <f>E21+G21</f>
        <v>-44053.291230000148</v>
      </c>
      <c r="D21" s="233"/>
      <c r="E21" s="234">
        <f>E19-E20</f>
        <v>-135913.0079961021</v>
      </c>
      <c r="F21" s="235"/>
      <c r="G21" s="234">
        <f>G19-G20</f>
        <v>91859.716766101948</v>
      </c>
      <c r="H21" s="236"/>
      <c r="I21" s="7"/>
    </row>
    <row r="22" spans="2:14" ht="12" customHeight="1">
      <c r="B22" s="18"/>
      <c r="C22" s="19"/>
      <c r="D22" s="202"/>
      <c r="E22" s="169"/>
      <c r="I22" s="7"/>
    </row>
    <row r="23" spans="2:14" ht="31.5" customHeight="1" thickBot="1">
      <c r="B23" s="247" t="s">
        <v>185</v>
      </c>
      <c r="C23" s="247"/>
      <c r="D23" s="247"/>
      <c r="E23" s="247"/>
      <c r="F23" s="247"/>
      <c r="G23" s="247"/>
      <c r="H23" s="247"/>
      <c r="L23" s="7"/>
      <c r="M23" s="299" t="s">
        <v>155</v>
      </c>
      <c r="N23" s="299" t="s">
        <v>156</v>
      </c>
    </row>
    <row r="24" spans="2:14" ht="31.5" customHeight="1">
      <c r="B24" s="273" t="s">
        <v>95</v>
      </c>
      <c r="C24" s="271" t="s">
        <v>97</v>
      </c>
      <c r="D24" s="271" t="s">
        <v>122</v>
      </c>
      <c r="E24" s="248" t="s">
        <v>186</v>
      </c>
      <c r="F24" s="267" t="s">
        <v>98</v>
      </c>
      <c r="G24" s="268"/>
      <c r="H24" s="239" t="s">
        <v>129</v>
      </c>
      <c r="L24" s="7"/>
      <c r="M24" s="300"/>
      <c r="N24" s="300"/>
    </row>
    <row r="25" spans="2:14" s="198" customFormat="1" ht="46.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I25" s="1"/>
      <c r="J25" s="1"/>
      <c r="K25" s="1"/>
      <c r="L25" s="1"/>
      <c r="M25" s="303">
        <v>228768.28</v>
      </c>
      <c r="N25" s="301">
        <f>228768.28*1.01</f>
        <v>231055.96280000001</v>
      </c>
    </row>
    <row r="26" spans="2:14" s="3" customFormat="1" ht="39" customHeight="1">
      <c r="B26" s="22" t="s">
        <v>87</v>
      </c>
      <c r="C26" s="23" t="s">
        <v>99</v>
      </c>
      <c r="D26" s="24" t="s">
        <v>100</v>
      </c>
      <c r="E26" s="25">
        <v>1.05</v>
      </c>
      <c r="F26" s="26">
        <f>$M$25/$M$26*E26</f>
        <v>23924.969521912353</v>
      </c>
      <c r="G26" s="27">
        <f>$N$25/$N$26*E26</f>
        <v>24164.219217131478</v>
      </c>
      <c r="H26" s="28">
        <f>F26-G26</f>
        <v>-239.24969521912499</v>
      </c>
      <c r="I26" s="29"/>
      <c r="J26" s="198"/>
      <c r="K26" s="198"/>
      <c r="L26" s="30"/>
      <c r="M26" s="303">
        <f>E35-E33</f>
        <v>10.039999999999999</v>
      </c>
      <c r="N26" s="303">
        <f>E35-E33</f>
        <v>10.039999999999999</v>
      </c>
    </row>
    <row r="27" spans="2:14" ht="51">
      <c r="B27" s="31" t="s">
        <v>91</v>
      </c>
      <c r="C27" s="23" t="s">
        <v>99</v>
      </c>
      <c r="D27" s="24" t="s">
        <v>100</v>
      </c>
      <c r="E27" s="32">
        <v>1.17</v>
      </c>
      <c r="F27" s="26">
        <f t="shared" ref="F27:F34" si="0">$M$25/$M$26*E27</f>
        <v>26659.25175298805</v>
      </c>
      <c r="G27" s="27">
        <f t="shared" ref="G27:G31" si="1">$N$25/$N$26*E27</f>
        <v>26925.84427051793</v>
      </c>
      <c r="H27" s="28">
        <f t="shared" ref="H27:H32" si="2">F27-G27</f>
        <v>-266.59251752987984</v>
      </c>
      <c r="I27" s="34"/>
      <c r="J27" s="3"/>
      <c r="K27" s="3"/>
      <c r="L27" s="8" t="s">
        <v>140</v>
      </c>
      <c r="M27" s="306">
        <f>M28/14.75*M26</f>
        <v>0</v>
      </c>
      <c r="N27" s="306">
        <f>N28/14.75*N26</f>
        <v>0</v>
      </c>
    </row>
    <row r="28" spans="2:14" ht="30.75" customHeight="1">
      <c r="B28" s="35" t="s">
        <v>84</v>
      </c>
      <c r="C28" s="23" t="s">
        <v>99</v>
      </c>
      <c r="D28" s="24" t="s">
        <v>100</v>
      </c>
      <c r="E28" s="32">
        <v>0.27</v>
      </c>
      <c r="F28" s="26">
        <f t="shared" si="0"/>
        <v>6152.1350199203198</v>
      </c>
      <c r="G28" s="27">
        <f t="shared" si="1"/>
        <v>6213.6563701195228</v>
      </c>
      <c r="H28" s="28">
        <f t="shared" si="2"/>
        <v>-61.521350199202971</v>
      </c>
      <c r="I28" s="36"/>
      <c r="L28" s="8" t="s">
        <v>138</v>
      </c>
      <c r="M28" s="307"/>
      <c r="N28" s="307"/>
    </row>
    <row r="29" spans="2:14" ht="25.5">
      <c r="B29" s="35" t="s">
        <v>85</v>
      </c>
      <c r="C29" s="37" t="s">
        <v>101</v>
      </c>
      <c r="D29" s="24" t="s">
        <v>100</v>
      </c>
      <c r="E29" s="32">
        <v>0.24</v>
      </c>
      <c r="F29" s="26">
        <f t="shared" si="0"/>
        <v>5468.5644621513948</v>
      </c>
      <c r="G29" s="27">
        <f t="shared" si="1"/>
        <v>5523.2501067729081</v>
      </c>
      <c r="H29" s="28">
        <f t="shared" si="2"/>
        <v>-54.685644621513347</v>
      </c>
      <c r="I29" s="36"/>
      <c r="L29" s="9" t="s">
        <v>141</v>
      </c>
      <c r="M29" s="306">
        <f>M28/14.75*E33</f>
        <v>0</v>
      </c>
      <c r="N29" s="306">
        <f>N28/14.75*E33</f>
        <v>0</v>
      </c>
    </row>
    <row r="30" spans="2:14" ht="51">
      <c r="B30" s="31" t="s">
        <v>88</v>
      </c>
      <c r="C30" s="23" t="s">
        <v>144</v>
      </c>
      <c r="D30" s="24" t="s">
        <v>100</v>
      </c>
      <c r="E30" s="32">
        <v>1.18</v>
      </c>
      <c r="F30" s="26">
        <f t="shared" si="0"/>
        <v>26887.10860557769</v>
      </c>
      <c r="G30" s="27">
        <f t="shared" si="1"/>
        <v>27155.979691633467</v>
      </c>
      <c r="H30" s="28">
        <f t="shared" si="2"/>
        <v>-268.87108605577669</v>
      </c>
      <c r="I30" s="36"/>
    </row>
    <row r="31" spans="2:14" s="3" customFormat="1" ht="214.5" customHeight="1">
      <c r="B31" s="31" t="s">
        <v>128</v>
      </c>
      <c r="C31" s="23" t="s">
        <v>102</v>
      </c>
      <c r="D31" s="24" t="s">
        <v>100</v>
      </c>
      <c r="E31" s="32">
        <v>5.5</v>
      </c>
      <c r="F31" s="26">
        <f t="shared" si="0"/>
        <v>125321.2689243028</v>
      </c>
      <c r="G31" s="27">
        <f t="shared" si="1"/>
        <v>126574.48161354582</v>
      </c>
      <c r="H31" s="28">
        <f t="shared" si="2"/>
        <v>-1253.2126892430242</v>
      </c>
      <c r="I31" s="34"/>
      <c r="L31" s="6"/>
      <c r="M31" s="304"/>
      <c r="N31" s="304"/>
    </row>
    <row r="32" spans="2:14" ht="105" customHeight="1">
      <c r="B32" s="31" t="s">
        <v>104</v>
      </c>
      <c r="C32" s="23" t="s">
        <v>99</v>
      </c>
      <c r="D32" s="24" t="s">
        <v>100</v>
      </c>
      <c r="E32" s="32">
        <v>0.24</v>
      </c>
      <c r="F32" s="26">
        <f t="shared" si="0"/>
        <v>5468.5644621513948</v>
      </c>
      <c r="G32" s="27">
        <f t="shared" ref="G32" si="3">$N$25/$N$26*E32</f>
        <v>5523.2501067729081</v>
      </c>
      <c r="H32" s="28">
        <f t="shared" si="2"/>
        <v>-54.685644621513347</v>
      </c>
      <c r="I32" s="36"/>
    </row>
    <row r="33" spans="2:14" ht="29.25" customHeight="1">
      <c r="B33" s="35" t="s">
        <v>92</v>
      </c>
      <c r="C33" s="23" t="s">
        <v>99</v>
      </c>
      <c r="D33" s="24" t="s">
        <v>100</v>
      </c>
      <c r="E33" s="32">
        <v>4.71</v>
      </c>
      <c r="F33" s="26">
        <v>107320.58</v>
      </c>
      <c r="G33" s="33">
        <v>85363</v>
      </c>
      <c r="H33" s="28">
        <f>F33-G33</f>
        <v>21957.58</v>
      </c>
      <c r="I33" s="36"/>
      <c r="L33" s="7"/>
    </row>
    <row r="34" spans="2:14" s="70" customFormat="1" ht="16.5" thickBot="1">
      <c r="B34" s="66" t="s">
        <v>86</v>
      </c>
      <c r="C34" s="39" t="s">
        <v>102</v>
      </c>
      <c r="D34" s="40" t="s">
        <v>100</v>
      </c>
      <c r="E34" s="41">
        <v>0.39</v>
      </c>
      <c r="F34" s="26">
        <f t="shared" si="0"/>
        <v>8886.4172509960172</v>
      </c>
      <c r="G34" s="27">
        <f t="shared" ref="G34" si="4">$N$25/$N$26*E34</f>
        <v>8975.2814235059777</v>
      </c>
      <c r="H34" s="28">
        <f>F34-G34</f>
        <v>-88.864172509960554</v>
      </c>
      <c r="I34" s="36"/>
      <c r="J34" s="1"/>
      <c r="K34" s="1"/>
      <c r="L34" s="1"/>
      <c r="M34" s="298"/>
      <c r="N34" s="298"/>
    </row>
    <row r="35" spans="2:14" s="4" customFormat="1" ht="16.5" thickBot="1">
      <c r="B35" s="42" t="s">
        <v>90</v>
      </c>
      <c r="C35" s="43"/>
      <c r="D35" s="43"/>
      <c r="E35" s="44">
        <f>SUM(E26:E34)</f>
        <v>14.75</v>
      </c>
      <c r="F35" s="45">
        <f>SUM(F26:F34)</f>
        <v>336088.86</v>
      </c>
      <c r="G35" s="46">
        <f>SUM(G26:G34)</f>
        <v>316418.96279999998</v>
      </c>
      <c r="H35" s="47">
        <f>SUM(H26:H34)</f>
        <v>19669.897200000007</v>
      </c>
      <c r="I35" s="69"/>
      <c r="J35" s="1"/>
      <c r="K35" s="1"/>
      <c r="L35" s="1"/>
      <c r="M35" s="298"/>
      <c r="N35" s="298"/>
    </row>
    <row r="36" spans="2:14">
      <c r="B36" s="7"/>
      <c r="C36" s="7"/>
      <c r="D36" s="7"/>
      <c r="E36" s="17"/>
      <c r="F36" s="4"/>
      <c r="G36" s="17"/>
      <c r="H36" s="4"/>
    </row>
    <row r="37" spans="2:14" ht="16.5" customHeight="1" thickBot="1">
      <c r="B37" s="250" t="s">
        <v>187</v>
      </c>
      <c r="C37" s="250"/>
      <c r="D37" s="250"/>
      <c r="E37" s="250"/>
      <c r="F37" s="250"/>
      <c r="G37" s="250"/>
      <c r="H37" s="250"/>
      <c r="I37" s="48"/>
      <c r="J37" s="48"/>
    </row>
    <row r="38" spans="2:14" ht="41.25" customHeight="1" thickBot="1">
      <c r="B38" s="193" t="s">
        <v>188</v>
      </c>
      <c r="C38" s="230" t="s">
        <v>103</v>
      </c>
      <c r="D38" s="231"/>
      <c r="E38" s="257" t="s">
        <v>9</v>
      </c>
      <c r="F38" s="258"/>
      <c r="G38" s="257" t="s">
        <v>10</v>
      </c>
      <c r="H38" s="259"/>
      <c r="I38" s="170"/>
      <c r="J38" s="171"/>
      <c r="K38" s="49"/>
      <c r="L38" s="50"/>
      <c r="M38" s="305"/>
      <c r="N38" s="305"/>
    </row>
    <row r="39" spans="2:14">
      <c r="B39" s="163" t="s">
        <v>11</v>
      </c>
      <c r="C39" s="228">
        <f>E39+G39</f>
        <v>2311748.0700000003</v>
      </c>
      <c r="D39" s="260"/>
      <c r="E39" s="228">
        <f>F26+F27+F28+F29+F30+F31+F32+F34+E18</f>
        <v>1638135.9700203391</v>
      </c>
      <c r="F39" s="260"/>
      <c r="G39" s="228">
        <f>F33+G18</f>
        <v>673612.09997966094</v>
      </c>
      <c r="H39" s="229"/>
      <c r="I39" s="172"/>
      <c r="J39" s="173"/>
      <c r="K39" s="52"/>
      <c r="L39" s="52"/>
      <c r="M39" s="306"/>
    </row>
    <row r="40" spans="2:14" s="3" customFormat="1">
      <c r="B40" s="164" t="s">
        <v>12</v>
      </c>
      <c r="C40" s="224">
        <f>E40+G40</f>
        <v>2097521.17</v>
      </c>
      <c r="D40" s="261"/>
      <c r="E40" s="224">
        <f>E19+N27+203036.47</f>
        <v>1486192.273233898</v>
      </c>
      <c r="F40" s="261"/>
      <c r="G40" s="224">
        <f>G19+N29+95249.18</f>
        <v>611328.89676610194</v>
      </c>
      <c r="H40" s="262"/>
      <c r="I40" s="172"/>
      <c r="J40" s="174"/>
      <c r="K40" s="54"/>
      <c r="L40" s="52"/>
      <c r="M40" s="306"/>
      <c r="N40" s="298"/>
    </row>
    <row r="41" spans="2:14" s="3" customFormat="1" ht="16.5" thickBot="1">
      <c r="B41" s="165" t="s">
        <v>89</v>
      </c>
      <c r="C41" s="254">
        <f>E41+G41</f>
        <v>2159707.77403</v>
      </c>
      <c r="D41" s="256"/>
      <c r="E41" s="254">
        <f>G26+G27+G28+G29+G30+G31+G32+G34+E20</f>
        <v>1650124.7740300002</v>
      </c>
      <c r="F41" s="256"/>
      <c r="G41" s="254">
        <f>G33+G20</f>
        <v>509583</v>
      </c>
      <c r="H41" s="255"/>
      <c r="I41" s="172"/>
      <c r="J41" s="51"/>
      <c r="K41" s="36"/>
      <c r="L41" s="36"/>
      <c r="M41" s="298"/>
      <c r="N41" s="298"/>
    </row>
    <row r="42" spans="2:14" s="3" customFormat="1" ht="27" customHeight="1" thickBot="1">
      <c r="B42" s="166" t="s">
        <v>154</v>
      </c>
      <c r="C42" s="232">
        <f>E42+G42</f>
        <v>-62186.604030000279</v>
      </c>
      <c r="D42" s="233"/>
      <c r="E42" s="234">
        <f>E40-E41</f>
        <v>-163932.50079610222</v>
      </c>
      <c r="F42" s="235"/>
      <c r="G42" s="234">
        <f>G40-G41</f>
        <v>101745.89676610194</v>
      </c>
      <c r="H42" s="236"/>
      <c r="I42" s="175"/>
      <c r="J42" s="159"/>
      <c r="K42" s="36"/>
      <c r="L42" s="36"/>
      <c r="M42" s="298"/>
      <c r="N42" s="298"/>
    </row>
    <row r="43" spans="2:14" ht="15.75" customHeight="1">
      <c r="B43" s="82"/>
      <c r="C43" s="157"/>
      <c r="D43" s="157"/>
      <c r="E43" s="159"/>
      <c r="F43" s="159"/>
      <c r="G43" s="159"/>
      <c r="H43" s="159"/>
      <c r="I43" s="55"/>
      <c r="J43" s="3"/>
      <c r="K43" s="3"/>
      <c r="L43" s="3"/>
      <c r="M43" s="304"/>
      <c r="N43" s="304"/>
    </row>
    <row r="44" spans="2:14" ht="18.75" customHeight="1">
      <c r="B44" s="55" t="s">
        <v>78</v>
      </c>
      <c r="C44" s="237" t="s">
        <v>157</v>
      </c>
      <c r="D44" s="237"/>
      <c r="E44" s="237"/>
      <c r="F44" s="252" t="s">
        <v>13</v>
      </c>
      <c r="G44" s="252"/>
      <c r="H44" s="55"/>
      <c r="I44" s="55"/>
      <c r="J44" s="3"/>
      <c r="K44" s="3"/>
      <c r="L44" s="3"/>
      <c r="M44" s="304"/>
      <c r="N44" s="304"/>
    </row>
    <row r="45" spans="2:14" ht="7.5" customHeight="1">
      <c r="B45" s="55"/>
      <c r="C45" s="56"/>
      <c r="D45" s="56"/>
      <c r="E45" s="205"/>
      <c r="F45" s="253"/>
      <c r="G45" s="253"/>
      <c r="H45" s="55"/>
      <c r="I45" s="55"/>
      <c r="J45" s="3"/>
      <c r="K45" s="3"/>
      <c r="L45" s="3"/>
      <c r="M45" s="304"/>
      <c r="N45" s="304"/>
    </row>
    <row r="46" spans="2:14" ht="14.25" customHeight="1">
      <c r="B46" s="55" t="s">
        <v>79</v>
      </c>
      <c r="C46" s="237" t="s">
        <v>157</v>
      </c>
      <c r="D46" s="237"/>
      <c r="E46" s="237"/>
      <c r="F46" s="252" t="s">
        <v>94</v>
      </c>
      <c r="G46" s="252"/>
      <c r="H46" s="55"/>
      <c r="I46" s="55"/>
    </row>
    <row r="47" spans="2:14" ht="9" customHeight="1">
      <c r="B47" s="55"/>
      <c r="C47" s="56"/>
      <c r="D47" s="56"/>
      <c r="E47" s="205"/>
      <c r="F47" s="252"/>
      <c r="G47" s="252"/>
      <c r="H47" s="55"/>
      <c r="I47" s="55"/>
    </row>
    <row r="48" spans="2:14" ht="12.75" customHeight="1">
      <c r="B48" s="55" t="s">
        <v>80</v>
      </c>
      <c r="C48" s="237" t="s">
        <v>158</v>
      </c>
      <c r="D48" s="237"/>
      <c r="E48" s="237"/>
      <c r="F48" s="252" t="s">
        <v>96</v>
      </c>
      <c r="G48" s="252"/>
      <c r="H48" s="55"/>
      <c r="I48" s="8"/>
    </row>
    <row r="49" spans="2:9" ht="9" customHeight="1">
      <c r="B49" s="57"/>
      <c r="C49" s="58"/>
      <c r="D49" s="58"/>
      <c r="E49" s="205"/>
      <c r="F49" s="59"/>
      <c r="G49" s="57"/>
      <c r="H49" s="60"/>
      <c r="I49" s="55"/>
    </row>
    <row r="50" spans="2:9" ht="15.75" customHeight="1">
      <c r="B50" s="55" t="s">
        <v>81</v>
      </c>
      <c r="C50" s="237" t="s">
        <v>158</v>
      </c>
      <c r="D50" s="237"/>
      <c r="E50" s="237"/>
      <c r="F50" s="252" t="s">
        <v>96</v>
      </c>
      <c r="G50" s="252"/>
      <c r="H50" s="55"/>
      <c r="I50" s="4"/>
    </row>
  </sheetData>
  <mergeCells count="57">
    <mergeCell ref="C48:E48"/>
    <mergeCell ref="F48:G48"/>
    <mergeCell ref="C50:E50"/>
    <mergeCell ref="C40:D40"/>
    <mergeCell ref="C41:D41"/>
    <mergeCell ref="C42:D42"/>
    <mergeCell ref="C44:E44"/>
    <mergeCell ref="C46:E46"/>
    <mergeCell ref="F50:G50"/>
    <mergeCell ref="F47:G47"/>
    <mergeCell ref="F45:G45"/>
    <mergeCell ref="F46:G46"/>
    <mergeCell ref="C21:D21"/>
    <mergeCell ref="E21:F21"/>
    <mergeCell ref="G21:H21"/>
    <mergeCell ref="M23:M24"/>
    <mergeCell ref="N23:N24"/>
    <mergeCell ref="B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G39:H39"/>
    <mergeCell ref="E24:E25"/>
    <mergeCell ref="F24:G24"/>
    <mergeCell ref="B23:H23"/>
    <mergeCell ref="H24:H25"/>
    <mergeCell ref="B24:B25"/>
    <mergeCell ref="C24:C25"/>
    <mergeCell ref="E39:F39"/>
    <mergeCell ref="C38:D38"/>
    <mergeCell ref="C39:D39"/>
    <mergeCell ref="G38:H38"/>
    <mergeCell ref="B1:H1"/>
    <mergeCell ref="F44:G44"/>
    <mergeCell ref="G40:H40"/>
    <mergeCell ref="G41:H41"/>
    <mergeCell ref="G42:H42"/>
    <mergeCell ref="E40:F40"/>
    <mergeCell ref="E41:F41"/>
    <mergeCell ref="E42:F42"/>
    <mergeCell ref="D8:E8"/>
    <mergeCell ref="B2:H2"/>
    <mergeCell ref="B3:H3"/>
    <mergeCell ref="D24:D25"/>
    <mergeCell ref="B4:H4"/>
    <mergeCell ref="B5:H6"/>
    <mergeCell ref="B37:H37"/>
    <mergeCell ref="E38:F38"/>
  </mergeCells>
  <printOptions horizontalCentered="1"/>
  <pageMargins left="0.19685039370078741" right="0.19685039370078741" top="0.15748031496062992" bottom="0.14000000000000001" header="0.16" footer="0.15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1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6.140625" style="1" customWidth="1"/>
    <col min="3" max="3" width="14.42578125" style="17" customWidth="1"/>
    <col min="4" max="4" width="8.7109375" style="4" customWidth="1"/>
    <col min="5" max="5" width="10.42578125" style="4" customWidth="1"/>
    <col min="6" max="6" width="10.140625" style="1" customWidth="1"/>
    <col min="7" max="7" width="10.28515625" style="1" customWidth="1"/>
    <col min="8" max="8" width="10.5703125" style="1" customWidth="1"/>
    <col min="9" max="9" width="15" style="1" customWidth="1"/>
    <col min="10" max="10" width="13.85546875" style="1" customWidth="1"/>
    <col min="11" max="12" width="9.140625" style="1"/>
    <col min="13" max="13" width="19.140625" style="298" customWidth="1"/>
    <col min="14" max="14" width="17.5703125" style="298" customWidth="1"/>
    <col min="15" max="16384" width="9.140625" style="1"/>
  </cols>
  <sheetData>
    <row r="1" spans="1:9">
      <c r="B1" s="221" t="s">
        <v>126</v>
      </c>
      <c r="C1" s="221"/>
      <c r="D1" s="221"/>
      <c r="E1" s="221"/>
      <c r="F1" s="221"/>
      <c r="G1" s="221"/>
      <c r="H1" s="221"/>
    </row>
    <row r="2" spans="1:9">
      <c r="B2" s="221" t="s">
        <v>127</v>
      </c>
      <c r="C2" s="221"/>
      <c r="D2" s="221"/>
      <c r="E2" s="221"/>
      <c r="F2" s="221"/>
      <c r="G2" s="221"/>
      <c r="H2" s="221"/>
    </row>
    <row r="3" spans="1:9">
      <c r="B3" s="221" t="s">
        <v>163</v>
      </c>
      <c r="C3" s="221"/>
      <c r="D3" s="221"/>
      <c r="E3" s="221"/>
      <c r="F3" s="221"/>
      <c r="G3" s="221"/>
      <c r="H3" s="221"/>
    </row>
    <row r="4" spans="1:9">
      <c r="B4" s="221" t="s">
        <v>191</v>
      </c>
      <c r="C4" s="221"/>
      <c r="D4" s="221"/>
      <c r="E4" s="221"/>
      <c r="F4" s="221"/>
      <c r="G4" s="221"/>
      <c r="H4" s="221"/>
    </row>
    <row r="5" spans="1:9" ht="9" customHeight="1">
      <c r="B5" s="206"/>
      <c r="C5" s="206"/>
      <c r="D5" s="206"/>
      <c r="E5" s="206"/>
      <c r="F5" s="206"/>
      <c r="G5" s="206"/>
      <c r="H5" s="206"/>
    </row>
    <row r="6" spans="1:9" ht="23.25" customHeight="1">
      <c r="A6" s="71"/>
      <c r="B6" s="238" t="s">
        <v>184</v>
      </c>
      <c r="C6" s="238"/>
      <c r="D6" s="238"/>
      <c r="E6" s="238"/>
      <c r="F6" s="238"/>
      <c r="G6" s="238"/>
      <c r="H6" s="238"/>
    </row>
    <row r="7" spans="1:9" ht="20.25" customHeight="1">
      <c r="A7" s="71"/>
      <c r="B7" s="238"/>
      <c r="C7" s="238"/>
      <c r="D7" s="238"/>
      <c r="E7" s="238"/>
      <c r="F7" s="238"/>
      <c r="G7" s="238"/>
      <c r="H7" s="238"/>
    </row>
    <row r="8" spans="1:9" ht="8.25" customHeight="1"/>
    <row r="9" spans="1:9">
      <c r="B9" s="176" t="s">
        <v>0</v>
      </c>
      <c r="C9" s="177"/>
      <c r="D9" s="245" t="s">
        <v>26</v>
      </c>
      <c r="E9" s="245"/>
    </row>
    <row r="10" spans="1:9">
      <c r="B10" s="176" t="s">
        <v>1</v>
      </c>
      <c r="C10" s="177"/>
      <c r="D10" s="208">
        <v>1965</v>
      </c>
      <c r="E10" s="208"/>
    </row>
    <row r="11" spans="1:9" hidden="1" outlineLevel="1">
      <c r="B11" s="176" t="s">
        <v>2</v>
      </c>
      <c r="C11" s="177"/>
      <c r="D11" s="208">
        <v>4</v>
      </c>
      <c r="E11" s="208"/>
    </row>
    <row r="12" spans="1:9" hidden="1" outlineLevel="1">
      <c r="B12" s="176" t="s">
        <v>3</v>
      </c>
      <c r="C12" s="177"/>
      <c r="D12" s="208">
        <v>48</v>
      </c>
      <c r="E12" s="208"/>
    </row>
    <row r="13" spans="1:9" ht="30.75" hidden="1" customHeight="1" outlineLevel="1">
      <c r="B13" s="178" t="s">
        <v>4</v>
      </c>
      <c r="C13" s="179"/>
      <c r="D13" s="208" t="s">
        <v>27</v>
      </c>
      <c r="E13" s="208"/>
    </row>
    <row r="14" spans="1:9" collapsed="1">
      <c r="B14" s="176" t="s">
        <v>5</v>
      </c>
      <c r="C14" s="177"/>
      <c r="D14" s="208" t="s">
        <v>107</v>
      </c>
      <c r="E14" s="208"/>
      <c r="I14" s="7"/>
    </row>
    <row r="15" spans="1:9" hidden="1" outlineLevel="1">
      <c r="B15" s="1" t="s">
        <v>6</v>
      </c>
      <c r="D15" s="169" t="s">
        <v>7</v>
      </c>
      <c r="E15" s="169"/>
    </row>
    <row r="16" spans="1:9" ht="30.75" hidden="1" customHeight="1" outlineLevel="1">
      <c r="B16" s="18" t="s">
        <v>8</v>
      </c>
      <c r="C16" s="19"/>
      <c r="D16" s="209" t="s">
        <v>28</v>
      </c>
      <c r="E16" s="169"/>
      <c r="I16" s="7"/>
    </row>
    <row r="17" spans="2:14" ht="18.75" customHeight="1" collapsed="1" thickBot="1">
      <c r="B17" s="250" t="s">
        <v>182</v>
      </c>
      <c r="C17" s="250"/>
      <c r="D17" s="250"/>
      <c r="E17" s="250"/>
      <c r="F17" s="250"/>
      <c r="G17" s="250"/>
      <c r="H17" s="250"/>
      <c r="I17" s="7"/>
    </row>
    <row r="18" spans="2:14" ht="42.75" customHeight="1" thickBot="1">
      <c r="B18" s="193" t="s">
        <v>183</v>
      </c>
      <c r="C18" s="230" t="s">
        <v>103</v>
      </c>
      <c r="D18" s="231"/>
      <c r="E18" s="257" t="s">
        <v>9</v>
      </c>
      <c r="F18" s="258"/>
      <c r="G18" s="257" t="s">
        <v>10</v>
      </c>
      <c r="H18" s="259"/>
      <c r="I18" s="7"/>
    </row>
    <row r="19" spans="2:14">
      <c r="B19" s="163" t="s">
        <v>11</v>
      </c>
      <c r="C19" s="222">
        <v>2085296.24</v>
      </c>
      <c r="D19" s="223"/>
      <c r="E19" s="228">
        <v>1538672.81</v>
      </c>
      <c r="F19" s="260"/>
      <c r="G19" s="228">
        <v>546623.42999999993</v>
      </c>
      <c r="H19" s="229"/>
      <c r="I19" s="7"/>
    </row>
    <row r="20" spans="2:14">
      <c r="B20" s="164" t="s">
        <v>12</v>
      </c>
      <c r="C20" s="224">
        <v>1982028.42</v>
      </c>
      <c r="D20" s="225"/>
      <c r="E20" s="224">
        <v>1466133.01</v>
      </c>
      <c r="F20" s="261"/>
      <c r="G20" s="224">
        <v>515895.41000000003</v>
      </c>
      <c r="H20" s="262"/>
      <c r="I20" s="7"/>
    </row>
    <row r="21" spans="2:14" ht="16.5" thickBot="1">
      <c r="B21" s="165" t="s">
        <v>89</v>
      </c>
      <c r="C21" s="226">
        <v>1968998.8832999999</v>
      </c>
      <c r="D21" s="227"/>
      <c r="E21" s="254">
        <v>1527974.8832999999</v>
      </c>
      <c r="F21" s="256"/>
      <c r="G21" s="254">
        <v>441024</v>
      </c>
      <c r="H21" s="255"/>
      <c r="I21" s="7"/>
    </row>
    <row r="22" spans="2:14" ht="28.5" customHeight="1" thickBot="1">
      <c r="B22" s="166" t="s">
        <v>153</v>
      </c>
      <c r="C22" s="232">
        <f>E22+G22</f>
        <v>13029.536700000172</v>
      </c>
      <c r="D22" s="233"/>
      <c r="E22" s="234">
        <f>E20-E21</f>
        <v>-61841.873299999861</v>
      </c>
      <c r="F22" s="235"/>
      <c r="G22" s="234">
        <f>G20-G21</f>
        <v>74871.410000000033</v>
      </c>
      <c r="H22" s="236"/>
      <c r="I22" s="7"/>
    </row>
    <row r="23" spans="2:14" ht="12.75" customHeight="1">
      <c r="B23" s="167"/>
      <c r="C23" s="168"/>
      <c r="D23" s="168"/>
      <c r="E23" s="158"/>
      <c r="F23" s="158"/>
      <c r="G23" s="158"/>
      <c r="H23" s="158"/>
      <c r="I23" s="7"/>
    </row>
    <row r="24" spans="2:14" ht="30" customHeight="1" thickBot="1">
      <c r="B24" s="247" t="s">
        <v>185</v>
      </c>
      <c r="C24" s="247"/>
      <c r="D24" s="247"/>
      <c r="E24" s="247"/>
      <c r="F24" s="247"/>
      <c r="G24" s="247"/>
      <c r="H24" s="247"/>
      <c r="L24" s="7"/>
      <c r="M24" s="299" t="s">
        <v>155</v>
      </c>
      <c r="N24" s="299" t="s">
        <v>156</v>
      </c>
    </row>
    <row r="25" spans="2:14" s="207" customFormat="1" ht="31.5" customHeight="1">
      <c r="B25" s="273" t="s">
        <v>95</v>
      </c>
      <c r="C25" s="271" t="s">
        <v>97</v>
      </c>
      <c r="D25" s="271" t="s">
        <v>122</v>
      </c>
      <c r="E25" s="248" t="s">
        <v>186</v>
      </c>
      <c r="F25" s="267" t="s">
        <v>98</v>
      </c>
      <c r="G25" s="268"/>
      <c r="H25" s="239" t="s">
        <v>129</v>
      </c>
      <c r="I25" s="1"/>
      <c r="J25" s="1"/>
      <c r="K25" s="1"/>
      <c r="L25" s="7"/>
      <c r="M25" s="300"/>
      <c r="N25" s="300"/>
    </row>
    <row r="26" spans="2:14" s="3" customFormat="1" ht="40.5" customHeight="1" thickBot="1">
      <c r="B26" s="274"/>
      <c r="C26" s="272"/>
      <c r="D26" s="272"/>
      <c r="E26" s="249"/>
      <c r="F26" s="20" t="s">
        <v>82</v>
      </c>
      <c r="G26" s="21" t="s">
        <v>83</v>
      </c>
      <c r="H26" s="240"/>
      <c r="I26" s="1"/>
      <c r="J26" s="1"/>
      <c r="K26" s="1"/>
      <c r="L26" s="1"/>
      <c r="M26" s="301">
        <v>257256.07</v>
      </c>
      <c r="N26" s="301">
        <f>257256.07*1.01</f>
        <v>259828.63070000001</v>
      </c>
    </row>
    <row r="27" spans="2:14" ht="40.5" customHeight="1">
      <c r="B27" s="22" t="s">
        <v>87</v>
      </c>
      <c r="C27" s="23" t="s">
        <v>99</v>
      </c>
      <c r="D27" s="24" t="s">
        <v>100</v>
      </c>
      <c r="E27" s="25">
        <v>1.06</v>
      </c>
      <c r="F27" s="26">
        <f>$M$26/$M$27*E27</f>
        <v>25202.535508317938</v>
      </c>
      <c r="G27" s="27">
        <f>$N$26/$N$27*E27</f>
        <v>25454.560863401122</v>
      </c>
      <c r="H27" s="28">
        <f>F27-G27</f>
        <v>-252.02535508318397</v>
      </c>
      <c r="I27" s="29"/>
      <c r="J27" s="207"/>
      <c r="K27" s="207"/>
      <c r="L27" s="30"/>
      <c r="M27" s="303">
        <f>E36-E34</f>
        <v>10.819999999999997</v>
      </c>
      <c r="N27" s="303">
        <f>E36-E34</f>
        <v>10.819999999999997</v>
      </c>
    </row>
    <row r="28" spans="2:14" ht="51">
      <c r="B28" s="31" t="s">
        <v>91</v>
      </c>
      <c r="C28" s="23" t="s">
        <v>99</v>
      </c>
      <c r="D28" s="24" t="s">
        <v>100</v>
      </c>
      <c r="E28" s="32">
        <v>1.19</v>
      </c>
      <c r="F28" s="26">
        <f t="shared" ref="F28:F35" si="0">$M$26/$M$27*E28</f>
        <v>28293.412504621079</v>
      </c>
      <c r="G28" s="27">
        <f t="shared" ref="G28:G32" si="1">$N$26/$N$27*E28</f>
        <v>28576.346629667292</v>
      </c>
      <c r="H28" s="28">
        <f t="shared" ref="H28:H33" si="2">F28-G28</f>
        <v>-282.93412504621301</v>
      </c>
      <c r="I28" s="34"/>
      <c r="J28" s="3"/>
      <c r="K28" s="3"/>
      <c r="L28" s="3"/>
      <c r="M28" s="304"/>
      <c r="N28" s="304"/>
    </row>
    <row r="29" spans="2:14" ht="30" customHeight="1">
      <c r="B29" s="35" t="s">
        <v>84</v>
      </c>
      <c r="C29" s="23" t="s">
        <v>99</v>
      </c>
      <c r="D29" s="24" t="s">
        <v>100</v>
      </c>
      <c r="E29" s="32">
        <v>0.32</v>
      </c>
      <c r="F29" s="26">
        <f t="shared" si="0"/>
        <v>7608.3126062846604</v>
      </c>
      <c r="G29" s="27">
        <f t="shared" si="1"/>
        <v>7684.3957323475079</v>
      </c>
      <c r="H29" s="28">
        <f t="shared" si="2"/>
        <v>-76.083126062847441</v>
      </c>
      <c r="I29" s="36"/>
      <c r="L29" s="7"/>
    </row>
    <row r="30" spans="2:14" ht="25.5">
      <c r="B30" s="35" t="s">
        <v>85</v>
      </c>
      <c r="C30" s="37" t="s">
        <v>101</v>
      </c>
      <c r="D30" s="24" t="s">
        <v>100</v>
      </c>
      <c r="E30" s="32">
        <v>0.27</v>
      </c>
      <c r="F30" s="26">
        <f t="shared" si="0"/>
        <v>6419.5137615526828</v>
      </c>
      <c r="G30" s="27">
        <f t="shared" si="1"/>
        <v>6483.7088991682103</v>
      </c>
      <c r="H30" s="28">
        <f t="shared" si="2"/>
        <v>-64.195137615527528</v>
      </c>
      <c r="I30" s="36"/>
      <c r="L30" s="7"/>
    </row>
    <row r="31" spans="2:14" s="3" customFormat="1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28055.652735674685</v>
      </c>
      <c r="G31" s="27">
        <f t="shared" si="1"/>
        <v>28336.209263031433</v>
      </c>
      <c r="H31" s="28">
        <f t="shared" si="2"/>
        <v>-280.55652735674812</v>
      </c>
      <c r="I31" s="36"/>
      <c r="J31" s="1"/>
      <c r="K31" s="1"/>
      <c r="L31" s="1"/>
      <c r="M31" s="298"/>
      <c r="N31" s="298"/>
    </row>
    <row r="32" spans="2:14" ht="213.75" customHeight="1">
      <c r="B32" s="31" t="s">
        <v>128</v>
      </c>
      <c r="C32" s="23" t="s">
        <v>102</v>
      </c>
      <c r="D32" s="24" t="s">
        <v>100</v>
      </c>
      <c r="E32" s="32">
        <v>5.61</v>
      </c>
      <c r="F32" s="26">
        <f t="shared" si="0"/>
        <v>133383.23037892795</v>
      </c>
      <c r="G32" s="27">
        <f t="shared" si="1"/>
        <v>134717.06268271725</v>
      </c>
      <c r="H32" s="28">
        <f t="shared" si="2"/>
        <v>-1333.8323037892987</v>
      </c>
      <c r="I32" s="34"/>
      <c r="J32" s="3"/>
      <c r="K32" s="3"/>
      <c r="L32" s="6"/>
      <c r="M32" s="304"/>
      <c r="N32" s="304"/>
    </row>
    <row r="33" spans="2:14" ht="105.75" customHeight="1">
      <c r="B33" s="31" t="s">
        <v>104</v>
      </c>
      <c r="C33" s="23" t="s">
        <v>99</v>
      </c>
      <c r="D33" s="24" t="s">
        <v>100</v>
      </c>
      <c r="E33" s="32">
        <v>0.24</v>
      </c>
      <c r="F33" s="26">
        <f t="shared" si="0"/>
        <v>5706.2344547134953</v>
      </c>
      <c r="G33" s="27">
        <f t="shared" ref="G33" si="3">$N$26/$N$27*E33</f>
        <v>5763.2967992606309</v>
      </c>
      <c r="H33" s="28">
        <f t="shared" si="2"/>
        <v>-57.062344547135581</v>
      </c>
      <c r="I33" s="36"/>
    </row>
    <row r="34" spans="2:14" ht="27.75" customHeight="1">
      <c r="B34" s="35" t="s">
        <v>92</v>
      </c>
      <c r="C34" s="23" t="s">
        <v>99</v>
      </c>
      <c r="D34" s="24" t="s">
        <v>100</v>
      </c>
      <c r="E34" s="32">
        <v>4.3</v>
      </c>
      <c r="F34" s="26">
        <v>102236.7</v>
      </c>
      <c r="G34" s="33">
        <v>101113</v>
      </c>
      <c r="H34" s="28">
        <f>F34-G34</f>
        <v>1123.6999999999971</v>
      </c>
      <c r="I34" s="36"/>
      <c r="L34" s="7"/>
    </row>
    <row r="35" spans="2:14" s="70" customFormat="1" ht="18" customHeight="1" thickBot="1">
      <c r="B35" s="66" t="s">
        <v>86</v>
      </c>
      <c r="C35" s="39" t="s">
        <v>102</v>
      </c>
      <c r="D35" s="40" t="s">
        <v>100</v>
      </c>
      <c r="E35" s="41">
        <v>0.95</v>
      </c>
      <c r="F35" s="26">
        <f t="shared" si="0"/>
        <v>22587.178049907583</v>
      </c>
      <c r="G35" s="27">
        <f t="shared" ref="G35" si="4">$N$26/$N$27*E35</f>
        <v>22813.049830406664</v>
      </c>
      <c r="H35" s="28">
        <f>F35-G35</f>
        <v>-225.87178049908107</v>
      </c>
      <c r="I35" s="36"/>
      <c r="J35" s="1"/>
      <c r="K35" s="1"/>
      <c r="L35" s="1"/>
      <c r="M35" s="298"/>
      <c r="N35" s="298"/>
    </row>
    <row r="36" spans="2:14" s="4" customFormat="1" ht="16.5" thickBot="1">
      <c r="B36" s="42" t="s">
        <v>90</v>
      </c>
      <c r="C36" s="43"/>
      <c r="D36" s="43"/>
      <c r="E36" s="44">
        <f>SUM(E27:E35)</f>
        <v>15.119999999999997</v>
      </c>
      <c r="F36" s="45">
        <f>SUM(F27:F35)</f>
        <v>359492.77</v>
      </c>
      <c r="G36" s="46">
        <f>SUM(G27:G35)</f>
        <v>360941.6307000001</v>
      </c>
      <c r="H36" s="47">
        <f>SUM(H27:H35)</f>
        <v>-1448.8607000000384</v>
      </c>
      <c r="I36" s="69"/>
      <c r="J36" s="1"/>
      <c r="K36" s="1"/>
      <c r="L36" s="1"/>
      <c r="M36" s="298"/>
      <c r="N36" s="298"/>
    </row>
    <row r="37" spans="2:14">
      <c r="B37" s="7"/>
      <c r="C37" s="7"/>
      <c r="D37" s="7"/>
      <c r="E37" s="17"/>
      <c r="F37" s="17"/>
      <c r="G37" s="17"/>
      <c r="H37" s="4"/>
    </row>
    <row r="38" spans="2:14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48"/>
      <c r="J38" s="48"/>
    </row>
    <row r="39" spans="2:14" ht="45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70"/>
      <c r="J39" s="171"/>
      <c r="K39" s="49"/>
      <c r="L39" s="50"/>
      <c r="M39" s="305"/>
      <c r="N39" s="305"/>
    </row>
    <row r="40" spans="2:14">
      <c r="B40" s="163" t="s">
        <v>11</v>
      </c>
      <c r="C40" s="228">
        <f>E40+G40</f>
        <v>2444789.0099999998</v>
      </c>
      <c r="D40" s="260"/>
      <c r="E40" s="228">
        <f>F27+F28+F29+F30+F31+F32+F33+F35+E19</f>
        <v>1795928.8800000001</v>
      </c>
      <c r="F40" s="260"/>
      <c r="G40" s="228">
        <f>F34+G19</f>
        <v>648860.12999999989</v>
      </c>
      <c r="H40" s="229"/>
      <c r="I40" s="172"/>
      <c r="J40" s="173"/>
      <c r="K40" s="52"/>
      <c r="L40" s="52"/>
      <c r="M40" s="306"/>
    </row>
    <row r="41" spans="2:14" s="3" customFormat="1">
      <c r="B41" s="164" t="s">
        <v>12</v>
      </c>
      <c r="C41" s="224">
        <f>E41+G41</f>
        <v>2349831.5099999998</v>
      </c>
      <c r="D41" s="261"/>
      <c r="E41" s="224">
        <f>E20+263203</f>
        <v>1729336.01</v>
      </c>
      <c r="F41" s="261"/>
      <c r="G41" s="224">
        <f>G20+104600.09</f>
        <v>620495.5</v>
      </c>
      <c r="H41" s="262"/>
      <c r="I41" s="172"/>
      <c r="J41" s="174"/>
      <c r="K41" s="54"/>
      <c r="L41" s="52"/>
      <c r="M41" s="306"/>
      <c r="N41" s="298"/>
    </row>
    <row r="42" spans="2:14" s="3" customFormat="1" ht="17.25" customHeight="1" thickBot="1">
      <c r="B42" s="165" t="s">
        <v>89</v>
      </c>
      <c r="C42" s="254">
        <f>E42+G42</f>
        <v>2329940.514</v>
      </c>
      <c r="D42" s="256"/>
      <c r="E42" s="254">
        <f>G27+G28+G29+G30+G31+G32+G33+G35+E21</f>
        <v>1787803.514</v>
      </c>
      <c r="F42" s="256"/>
      <c r="G42" s="254">
        <f>G34+G21</f>
        <v>542137</v>
      </c>
      <c r="H42" s="255"/>
      <c r="I42" s="172"/>
      <c r="J42" s="51"/>
      <c r="K42" s="36"/>
      <c r="L42" s="36"/>
      <c r="M42" s="298"/>
      <c r="N42" s="298"/>
    </row>
    <row r="43" spans="2:14" s="3" customFormat="1" ht="28.5" customHeight="1" thickBot="1">
      <c r="B43" s="166" t="s">
        <v>154</v>
      </c>
      <c r="C43" s="232">
        <f>E43+G43</f>
        <v>19890.996000000043</v>
      </c>
      <c r="D43" s="233"/>
      <c r="E43" s="234">
        <f>E41-E42</f>
        <v>-58467.503999999957</v>
      </c>
      <c r="F43" s="235"/>
      <c r="G43" s="234">
        <f>G41-G42</f>
        <v>78358.5</v>
      </c>
      <c r="H43" s="236"/>
      <c r="I43" s="175"/>
      <c r="J43" s="159"/>
      <c r="K43" s="36"/>
      <c r="L43" s="36"/>
      <c r="M43" s="298"/>
      <c r="N43" s="298"/>
    </row>
    <row r="44" spans="2:14" ht="20.25" customHeight="1">
      <c r="B44" s="82"/>
      <c r="C44" s="157"/>
      <c r="D44" s="157"/>
      <c r="E44" s="159"/>
      <c r="F44" s="159"/>
      <c r="G44" s="159"/>
      <c r="H44" s="159"/>
      <c r="I44" s="55"/>
      <c r="J44" s="3"/>
      <c r="K44" s="3"/>
      <c r="L44" s="3"/>
      <c r="M44" s="304"/>
      <c r="N44" s="304"/>
    </row>
    <row r="45" spans="2:14" ht="16.5" customHeight="1">
      <c r="B45" s="55" t="s">
        <v>78</v>
      </c>
      <c r="C45" s="237" t="s">
        <v>157</v>
      </c>
      <c r="D45" s="237"/>
      <c r="E45" s="237"/>
      <c r="F45" s="252" t="s">
        <v>13</v>
      </c>
      <c r="G45" s="252"/>
      <c r="H45" s="55"/>
      <c r="I45" s="55"/>
      <c r="J45" s="3"/>
      <c r="K45" s="3"/>
      <c r="L45" s="3"/>
      <c r="M45" s="304"/>
      <c r="N45" s="304"/>
    </row>
    <row r="46" spans="2:14" ht="8.25" customHeight="1">
      <c r="B46" s="55"/>
      <c r="C46" s="56"/>
      <c r="D46" s="56"/>
      <c r="E46" s="220"/>
      <c r="F46" s="253"/>
      <c r="G46" s="253"/>
      <c r="H46" s="55"/>
      <c r="I46" s="55"/>
      <c r="J46" s="3"/>
      <c r="K46" s="3"/>
      <c r="L46" s="3"/>
      <c r="M46" s="304"/>
      <c r="N46" s="304"/>
    </row>
    <row r="47" spans="2:14" ht="15.75" customHeight="1">
      <c r="B47" s="55" t="s">
        <v>79</v>
      </c>
      <c r="C47" s="237" t="s">
        <v>157</v>
      </c>
      <c r="D47" s="237"/>
      <c r="E47" s="237"/>
      <c r="F47" s="252" t="s">
        <v>94</v>
      </c>
      <c r="G47" s="252"/>
      <c r="H47" s="55"/>
      <c r="I47" s="55"/>
    </row>
    <row r="48" spans="2:14" ht="9.75" customHeight="1">
      <c r="B48" s="55"/>
      <c r="C48" s="56"/>
      <c r="D48" s="56"/>
      <c r="E48" s="220"/>
      <c r="F48" s="252"/>
      <c r="G48" s="252"/>
      <c r="H48" s="55"/>
      <c r="I48" s="55"/>
    </row>
    <row r="49" spans="2:9" ht="15" customHeight="1">
      <c r="B49" s="55" t="s">
        <v>80</v>
      </c>
      <c r="C49" s="237" t="s">
        <v>158</v>
      </c>
      <c r="D49" s="237"/>
      <c r="E49" s="237"/>
      <c r="F49" s="252" t="s">
        <v>96</v>
      </c>
      <c r="G49" s="252"/>
      <c r="H49" s="55"/>
      <c r="I49" s="55"/>
    </row>
    <row r="50" spans="2:9" ht="10.5" customHeight="1">
      <c r="B50" s="57"/>
      <c r="C50" s="58"/>
      <c r="D50" s="58"/>
      <c r="E50" s="220"/>
      <c r="F50" s="59"/>
      <c r="G50" s="57"/>
      <c r="H50" s="60"/>
      <c r="I50" s="55"/>
    </row>
    <row r="51" spans="2:9" ht="12.75" customHeight="1">
      <c r="B51" s="55" t="s">
        <v>81</v>
      </c>
      <c r="C51" s="237" t="s">
        <v>158</v>
      </c>
      <c r="D51" s="237"/>
      <c r="E51" s="237"/>
      <c r="F51" s="252" t="s">
        <v>96</v>
      </c>
      <c r="G51" s="252"/>
      <c r="H51" s="55"/>
      <c r="I51" s="55"/>
    </row>
  </sheetData>
  <mergeCells count="57">
    <mergeCell ref="C49:E49"/>
    <mergeCell ref="F49:G49"/>
    <mergeCell ref="C51:E51"/>
    <mergeCell ref="C41:D41"/>
    <mergeCell ref="C42:D42"/>
    <mergeCell ref="C43:D43"/>
    <mergeCell ref="C45:E45"/>
    <mergeCell ref="C47:E47"/>
    <mergeCell ref="C22:D22"/>
    <mergeCell ref="E22:F22"/>
    <mergeCell ref="G22:H22"/>
    <mergeCell ref="M24:M25"/>
    <mergeCell ref="N24:N25"/>
    <mergeCell ref="E20:F20"/>
    <mergeCell ref="G20:H20"/>
    <mergeCell ref="C21:D21"/>
    <mergeCell ref="E21:F21"/>
    <mergeCell ref="G21:H21"/>
    <mergeCell ref="G40:H40"/>
    <mergeCell ref="C39:D39"/>
    <mergeCell ref="C40:D40"/>
    <mergeCell ref="E39:F39"/>
    <mergeCell ref="E41:F41"/>
    <mergeCell ref="G39:H39"/>
    <mergeCell ref="E40:F40"/>
    <mergeCell ref="D9:E9"/>
    <mergeCell ref="B24:H24"/>
    <mergeCell ref="B25:B26"/>
    <mergeCell ref="C25:C26"/>
    <mergeCell ref="D25:D26"/>
    <mergeCell ref="E25:E26"/>
    <mergeCell ref="F25:G25"/>
    <mergeCell ref="H25:H26"/>
    <mergeCell ref="B17:H17"/>
    <mergeCell ref="C18:D18"/>
    <mergeCell ref="E18:F18"/>
    <mergeCell ref="G18:H18"/>
    <mergeCell ref="C19:D19"/>
    <mergeCell ref="E19:F19"/>
    <mergeCell ref="G19:H19"/>
    <mergeCell ref="C20:D20"/>
    <mergeCell ref="B2:H2"/>
    <mergeCell ref="B3:H3"/>
    <mergeCell ref="B4:H4"/>
    <mergeCell ref="B1:H1"/>
    <mergeCell ref="F51:G51"/>
    <mergeCell ref="B6:H7"/>
    <mergeCell ref="F48:G48"/>
    <mergeCell ref="F46:G46"/>
    <mergeCell ref="F47:G47"/>
    <mergeCell ref="B38:H38"/>
    <mergeCell ref="F45:G45"/>
    <mergeCell ref="G41:H41"/>
    <mergeCell ref="G42:H42"/>
    <mergeCell ref="G43:H43"/>
    <mergeCell ref="E42:F42"/>
    <mergeCell ref="E43:F43"/>
  </mergeCells>
  <printOptions horizontalCentered="1"/>
  <pageMargins left="0.19685039370078741" right="0.19685039370078741" top="0.16" bottom="0.24" header="0.16" footer="0.2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2"/>
  <sheetViews>
    <sheetView topLeftCell="A34" zoomScale="110" zoomScaleNormal="110" workbookViewId="0">
      <selection activeCell="B1" sqref="B1:H51"/>
    </sheetView>
  </sheetViews>
  <sheetFormatPr defaultColWidth="9.140625" defaultRowHeight="15.75"/>
  <cols>
    <col min="1" max="1" width="2.85546875" style="1" customWidth="1"/>
    <col min="2" max="2" width="55.85546875" style="1" customWidth="1"/>
    <col min="3" max="3" width="14.140625" style="17" customWidth="1"/>
    <col min="4" max="4" width="8.5703125" style="4" customWidth="1"/>
    <col min="5" max="5" width="10" style="4" customWidth="1"/>
    <col min="6" max="6" width="10.42578125" style="1" customWidth="1"/>
    <col min="7" max="7" width="10.28515625" style="1" customWidth="1"/>
    <col min="8" max="8" width="10.85546875" style="1" customWidth="1"/>
    <col min="9" max="9" width="14.7109375" style="1" customWidth="1"/>
    <col min="10" max="10" width="15.140625" style="1" customWidth="1"/>
    <col min="11" max="12" width="9.140625" style="1"/>
    <col min="13" max="13" width="18.7109375" style="1" customWidth="1"/>
    <col min="14" max="14" width="17" style="1" customWidth="1"/>
    <col min="15" max="16384" width="9.140625" style="1"/>
  </cols>
  <sheetData>
    <row r="1" spans="1:8">
      <c r="B1" s="221" t="s">
        <v>126</v>
      </c>
      <c r="C1" s="221"/>
      <c r="D1" s="221"/>
      <c r="E1" s="221"/>
      <c r="F1" s="221"/>
      <c r="G1" s="221"/>
      <c r="H1" s="221"/>
    </row>
    <row r="2" spans="1:8">
      <c r="B2" s="221" t="s">
        <v>127</v>
      </c>
      <c r="C2" s="221"/>
      <c r="D2" s="221"/>
      <c r="E2" s="221"/>
      <c r="F2" s="221"/>
      <c r="G2" s="221"/>
      <c r="H2" s="221"/>
    </row>
    <row r="3" spans="1:8">
      <c r="B3" s="221" t="s">
        <v>164</v>
      </c>
      <c r="C3" s="221"/>
      <c r="D3" s="221"/>
      <c r="E3" s="221"/>
      <c r="F3" s="221"/>
      <c r="G3" s="221"/>
      <c r="H3" s="221"/>
    </row>
    <row r="4" spans="1:8">
      <c r="B4" s="221" t="s">
        <v>191</v>
      </c>
      <c r="C4" s="221"/>
      <c r="D4" s="221"/>
      <c r="E4" s="221"/>
      <c r="F4" s="221"/>
      <c r="G4" s="221"/>
      <c r="H4" s="221"/>
    </row>
    <row r="5" spans="1:8" ht="8.25" customHeight="1">
      <c r="B5" s="206"/>
      <c r="C5" s="206"/>
      <c r="D5" s="206"/>
      <c r="E5" s="206"/>
      <c r="F5" s="206"/>
      <c r="G5" s="206"/>
      <c r="H5" s="206"/>
    </row>
    <row r="6" spans="1:8" ht="46.5" customHeight="1">
      <c r="A6" s="72"/>
      <c r="B6" s="238" t="s">
        <v>184</v>
      </c>
      <c r="C6" s="238"/>
      <c r="D6" s="238"/>
      <c r="E6" s="238"/>
      <c r="F6" s="238"/>
      <c r="G6" s="238"/>
      <c r="H6" s="238"/>
    </row>
    <row r="7" spans="1:8" ht="15.75" customHeight="1">
      <c r="A7" s="72"/>
      <c r="B7" s="238"/>
      <c r="C7" s="238"/>
      <c r="D7" s="238"/>
      <c r="E7" s="238"/>
      <c r="F7" s="238"/>
      <c r="G7" s="238"/>
      <c r="H7" s="238"/>
    </row>
    <row r="8" spans="1:8" ht="8.25" customHeight="1">
      <c r="B8" s="71"/>
      <c r="C8" s="71"/>
      <c r="D8" s="71"/>
      <c r="E8" s="71"/>
      <c r="F8" s="71"/>
      <c r="G8" s="71"/>
    </row>
    <row r="9" spans="1:8">
      <c r="B9" s="176" t="s">
        <v>0</v>
      </c>
      <c r="C9" s="177"/>
      <c r="D9" s="184" t="s">
        <v>29</v>
      </c>
      <c r="E9" s="184"/>
    </row>
    <row r="10" spans="1:8">
      <c r="B10" s="176" t="s">
        <v>1</v>
      </c>
      <c r="C10" s="177"/>
      <c r="D10" s="208">
        <v>1963</v>
      </c>
      <c r="E10" s="208"/>
    </row>
    <row r="11" spans="1:8" ht="15.75" hidden="1" customHeight="1">
      <c r="B11" s="176" t="s">
        <v>2</v>
      </c>
      <c r="C11" s="177"/>
      <c r="D11" s="208">
        <v>4</v>
      </c>
      <c r="E11" s="208"/>
    </row>
    <row r="12" spans="1:8" ht="15.75" hidden="1" customHeight="1">
      <c r="B12" s="176" t="s">
        <v>3</v>
      </c>
      <c r="C12" s="177"/>
      <c r="D12" s="208">
        <v>32</v>
      </c>
      <c r="E12" s="208"/>
    </row>
    <row r="13" spans="1:8" ht="30.75" hidden="1" customHeight="1">
      <c r="B13" s="178" t="s">
        <v>4</v>
      </c>
      <c r="C13" s="179"/>
      <c r="D13" s="208" t="s">
        <v>30</v>
      </c>
      <c r="E13" s="208"/>
    </row>
    <row r="14" spans="1:8">
      <c r="B14" s="176" t="s">
        <v>5</v>
      </c>
      <c r="C14" s="177"/>
      <c r="D14" s="208" t="s">
        <v>108</v>
      </c>
      <c r="E14" s="208"/>
      <c r="H14" s="7"/>
    </row>
    <row r="15" spans="1:8" ht="15.75" hidden="1" customHeight="1">
      <c r="B15" s="1" t="s">
        <v>6</v>
      </c>
      <c r="D15" s="169" t="s">
        <v>7</v>
      </c>
      <c r="E15" s="169"/>
    </row>
    <row r="16" spans="1:8" ht="30.75" hidden="1" customHeight="1">
      <c r="B16" s="18" t="s">
        <v>8</v>
      </c>
      <c r="C16" s="19"/>
      <c r="D16" s="209" t="s">
        <v>19</v>
      </c>
      <c r="E16" s="169"/>
      <c r="H16" s="7"/>
    </row>
    <row r="17" spans="2:14" ht="16.5" thickBot="1">
      <c r="B17" s="250" t="s">
        <v>182</v>
      </c>
      <c r="C17" s="250"/>
      <c r="D17" s="250"/>
      <c r="E17" s="250"/>
      <c r="F17" s="250"/>
      <c r="G17" s="250"/>
      <c r="H17" s="250"/>
    </row>
    <row r="18" spans="2:14" ht="48" customHeight="1" thickBot="1">
      <c r="B18" s="193" t="s">
        <v>183</v>
      </c>
      <c r="C18" s="230" t="s">
        <v>103</v>
      </c>
      <c r="D18" s="231"/>
      <c r="E18" s="257" t="s">
        <v>9</v>
      </c>
      <c r="F18" s="258"/>
      <c r="G18" s="257" t="s">
        <v>10</v>
      </c>
      <c r="H18" s="259"/>
    </row>
    <row r="19" spans="2:14">
      <c r="B19" s="163" t="s">
        <v>11</v>
      </c>
      <c r="C19" s="222">
        <v>1443909.25</v>
      </c>
      <c r="D19" s="276"/>
      <c r="E19" s="222">
        <v>1097159.8699999999</v>
      </c>
      <c r="F19" s="276"/>
      <c r="G19" s="222">
        <v>346749.38</v>
      </c>
      <c r="H19" s="278"/>
    </row>
    <row r="20" spans="2:14">
      <c r="B20" s="164" t="s">
        <v>12</v>
      </c>
      <c r="C20" s="224">
        <v>1340057.02</v>
      </c>
      <c r="D20" s="261"/>
      <c r="E20" s="224">
        <v>1018171.64</v>
      </c>
      <c r="F20" s="261"/>
      <c r="G20" s="224">
        <v>321885.38</v>
      </c>
      <c r="H20" s="262"/>
    </row>
    <row r="21" spans="2:14" ht="16.5" thickBot="1">
      <c r="B21" s="165" t="s">
        <v>89</v>
      </c>
      <c r="C21" s="226">
        <v>1468709.6468</v>
      </c>
      <c r="D21" s="277"/>
      <c r="E21" s="226">
        <v>1103279.6468</v>
      </c>
      <c r="F21" s="277"/>
      <c r="G21" s="226">
        <v>365430</v>
      </c>
      <c r="H21" s="279"/>
    </row>
    <row r="22" spans="2:14" ht="31.5" customHeight="1" thickBot="1">
      <c r="B22" s="166" t="s">
        <v>153</v>
      </c>
      <c r="C22" s="232">
        <f>E22+G22</f>
        <v>-128652.62679999997</v>
      </c>
      <c r="D22" s="233"/>
      <c r="E22" s="234">
        <f>E20-E21</f>
        <v>-85108.006799999974</v>
      </c>
      <c r="F22" s="235"/>
      <c r="G22" s="234">
        <f>G20-G21</f>
        <v>-43544.619999999995</v>
      </c>
      <c r="H22" s="236"/>
    </row>
    <row r="23" spans="2:14">
      <c r="B23" s="18"/>
      <c r="C23" s="19"/>
      <c r="D23" s="209"/>
      <c r="E23" s="169"/>
      <c r="H23" s="7"/>
    </row>
    <row r="24" spans="2:14" ht="34.5" customHeight="1" thickBot="1">
      <c r="B24" s="247" t="s">
        <v>185</v>
      </c>
      <c r="C24" s="247"/>
      <c r="D24" s="247"/>
      <c r="E24" s="247"/>
      <c r="F24" s="247"/>
      <c r="G24" s="247"/>
      <c r="H24" s="247"/>
      <c r="L24" s="7"/>
      <c r="M24" s="263" t="s">
        <v>155</v>
      </c>
      <c r="N24" s="263" t="s">
        <v>156</v>
      </c>
    </row>
    <row r="25" spans="2:14" ht="33" customHeight="1">
      <c r="B25" s="273" t="s">
        <v>95</v>
      </c>
      <c r="C25" s="271" t="s">
        <v>97</v>
      </c>
      <c r="D25" s="271" t="s">
        <v>122</v>
      </c>
      <c r="E25" s="248" t="s">
        <v>186</v>
      </c>
      <c r="F25" s="267" t="s">
        <v>98</v>
      </c>
      <c r="G25" s="268"/>
      <c r="H25" s="239" t="s">
        <v>129</v>
      </c>
      <c r="L25" s="7"/>
      <c r="M25" s="264"/>
      <c r="N25" s="264"/>
    </row>
    <row r="26" spans="2:14" s="207" customFormat="1" ht="43.9" customHeight="1" thickBot="1">
      <c r="B26" s="274"/>
      <c r="C26" s="272"/>
      <c r="D26" s="272"/>
      <c r="E26" s="249"/>
      <c r="F26" s="20" t="s">
        <v>82</v>
      </c>
      <c r="G26" s="21" t="s">
        <v>83</v>
      </c>
      <c r="H26" s="240"/>
      <c r="I26" s="1"/>
      <c r="J26" s="1"/>
      <c r="K26" s="1"/>
      <c r="L26" s="1"/>
      <c r="M26" s="2">
        <v>175610.73</v>
      </c>
      <c r="N26" s="2">
        <f>175610.73*1.01</f>
        <v>177366.83730000001</v>
      </c>
    </row>
    <row r="27" spans="2:14" s="3" customFormat="1" ht="39.75" customHeight="1">
      <c r="B27" s="22" t="s">
        <v>87</v>
      </c>
      <c r="C27" s="23" t="s">
        <v>99</v>
      </c>
      <c r="D27" s="24" t="s">
        <v>100</v>
      </c>
      <c r="E27" s="25">
        <v>1.06</v>
      </c>
      <c r="F27" s="26">
        <f>$M$26/$M$27*E27</f>
        <v>18727.099979879276</v>
      </c>
      <c r="G27" s="27">
        <f>$N$26/$N$27*E27</f>
        <v>18914.370979678071</v>
      </c>
      <c r="H27" s="28">
        <f>F27-G27</f>
        <v>-187.27099979879495</v>
      </c>
      <c r="I27" s="29"/>
      <c r="J27" s="207"/>
      <c r="K27" s="207"/>
      <c r="L27" s="30"/>
      <c r="M27" s="5">
        <f>E36-E34</f>
        <v>9.9400000000000013</v>
      </c>
      <c r="N27" s="5">
        <f>E36-E34</f>
        <v>9.9400000000000013</v>
      </c>
    </row>
    <row r="28" spans="2:14" ht="51">
      <c r="B28" s="31" t="s">
        <v>91</v>
      </c>
      <c r="C28" s="23" t="s">
        <v>99</v>
      </c>
      <c r="D28" s="24" t="s">
        <v>100</v>
      </c>
      <c r="E28" s="32">
        <v>1.19</v>
      </c>
      <c r="F28" s="26">
        <f t="shared" ref="F28:F35" si="0">$M$26/$M$27*E28</f>
        <v>21023.819788732391</v>
      </c>
      <c r="G28" s="27">
        <f t="shared" ref="G28:G32" si="1">$N$26/$N$27*E28</f>
        <v>21234.057986619719</v>
      </c>
      <c r="H28" s="28">
        <f t="shared" ref="H28:H33" si="2">F28-G28</f>
        <v>-210.23819788732726</v>
      </c>
      <c r="I28" s="34"/>
      <c r="J28" s="3"/>
      <c r="K28" s="3"/>
      <c r="L28" s="3"/>
      <c r="M28" s="3"/>
      <c r="N28" s="3"/>
    </row>
    <row r="29" spans="2:14" ht="32.25" customHeight="1">
      <c r="B29" s="35" t="s">
        <v>84</v>
      </c>
      <c r="C29" s="23" t="s">
        <v>99</v>
      </c>
      <c r="D29" s="24" t="s">
        <v>100</v>
      </c>
      <c r="E29" s="32">
        <v>0.32</v>
      </c>
      <c r="F29" s="26">
        <f t="shared" si="0"/>
        <v>5653.4641448692155</v>
      </c>
      <c r="G29" s="27">
        <f t="shared" si="1"/>
        <v>5709.9987863179076</v>
      </c>
      <c r="H29" s="28">
        <f t="shared" si="2"/>
        <v>-56.534641448692128</v>
      </c>
      <c r="I29" s="36"/>
      <c r="L29" s="7"/>
    </row>
    <row r="30" spans="2:14" ht="25.5">
      <c r="B30" s="35" t="s">
        <v>85</v>
      </c>
      <c r="C30" s="37" t="s">
        <v>101</v>
      </c>
      <c r="D30" s="24" t="s">
        <v>100</v>
      </c>
      <c r="E30" s="32">
        <v>0.19</v>
      </c>
      <c r="F30" s="26">
        <f t="shared" si="0"/>
        <v>3356.7443360160964</v>
      </c>
      <c r="G30" s="27">
        <f t="shared" si="1"/>
        <v>3390.3117793762576</v>
      </c>
      <c r="H30" s="28">
        <f t="shared" si="2"/>
        <v>-33.567443360161178</v>
      </c>
      <c r="I30" s="36"/>
      <c r="L30" s="7"/>
    </row>
    <row r="31" spans="2:14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20847.149034205231</v>
      </c>
      <c r="G31" s="27">
        <f t="shared" si="1"/>
        <v>21055.620524547281</v>
      </c>
      <c r="H31" s="28">
        <f t="shared" si="2"/>
        <v>-208.47149034204995</v>
      </c>
      <c r="I31" s="36"/>
    </row>
    <row r="32" spans="2:14" s="3" customFormat="1" ht="215.25" customHeight="1">
      <c r="B32" s="31" t="s">
        <v>128</v>
      </c>
      <c r="C32" s="23" t="s">
        <v>102</v>
      </c>
      <c r="D32" s="24" t="s">
        <v>100</v>
      </c>
      <c r="E32" s="32">
        <v>5.61</v>
      </c>
      <c r="F32" s="26">
        <f t="shared" si="0"/>
        <v>99112.293289738431</v>
      </c>
      <c r="G32" s="27">
        <f t="shared" si="1"/>
        <v>100103.41622263582</v>
      </c>
      <c r="H32" s="28">
        <f t="shared" si="2"/>
        <v>-991.12293289738591</v>
      </c>
      <c r="I32" s="34"/>
      <c r="L32" s="6"/>
    </row>
    <row r="33" spans="2:14" ht="102">
      <c r="B33" s="31" t="s">
        <v>104</v>
      </c>
      <c r="C33" s="23" t="s">
        <v>99</v>
      </c>
      <c r="D33" s="24" t="s">
        <v>100</v>
      </c>
      <c r="E33" s="32">
        <v>0.24</v>
      </c>
      <c r="F33" s="26">
        <f t="shared" si="0"/>
        <v>4240.0981086519114</v>
      </c>
      <c r="G33" s="27">
        <f t="shared" ref="G33" si="3">$N$26/$N$27*E33</f>
        <v>4282.4990897384305</v>
      </c>
      <c r="H33" s="28">
        <f t="shared" si="2"/>
        <v>-42.400981086519096</v>
      </c>
      <c r="I33" s="36"/>
    </row>
    <row r="34" spans="2:14" ht="30.75" customHeight="1">
      <c r="B34" s="35" t="s">
        <v>92</v>
      </c>
      <c r="C34" s="23" t="s">
        <v>99</v>
      </c>
      <c r="D34" s="24" t="s">
        <v>100</v>
      </c>
      <c r="E34" s="32">
        <v>3.61</v>
      </c>
      <c r="F34" s="26">
        <v>63778.14</v>
      </c>
      <c r="G34" s="33">
        <v>28236</v>
      </c>
      <c r="H34" s="28">
        <f>F34-G34</f>
        <v>35542.14</v>
      </c>
      <c r="I34" s="36"/>
      <c r="L34" s="7"/>
    </row>
    <row r="35" spans="2:14" s="70" customFormat="1" ht="18" customHeight="1" thickBot="1">
      <c r="B35" s="66" t="s">
        <v>86</v>
      </c>
      <c r="C35" s="39" t="s">
        <v>102</v>
      </c>
      <c r="D35" s="40" t="s">
        <v>100</v>
      </c>
      <c r="E35" s="41">
        <v>0.15</v>
      </c>
      <c r="F35" s="26">
        <f t="shared" si="0"/>
        <v>2650.0613179074444</v>
      </c>
      <c r="G35" s="27">
        <f t="shared" ref="G35" si="4">$N$26/$N$27*E35</f>
        <v>2676.5619310865191</v>
      </c>
      <c r="H35" s="28">
        <f>F35-G35</f>
        <v>-26.500613179074662</v>
      </c>
      <c r="I35" s="36"/>
      <c r="J35" s="1"/>
      <c r="K35" s="1"/>
      <c r="L35" s="1"/>
      <c r="M35" s="1"/>
      <c r="N35" s="1"/>
    </row>
    <row r="36" spans="2:14" s="4" customFormat="1" ht="16.5" thickBot="1">
      <c r="B36" s="42" t="s">
        <v>90</v>
      </c>
      <c r="C36" s="43"/>
      <c r="D36" s="43"/>
      <c r="E36" s="44">
        <f>SUM(E27:E35)</f>
        <v>13.55</v>
      </c>
      <c r="F36" s="45">
        <f>SUM(F27:F35)</f>
        <v>239388.86999999997</v>
      </c>
      <c r="G36" s="46">
        <f>SUM(G27:G35)</f>
        <v>205602.83730000004</v>
      </c>
      <c r="H36" s="47">
        <f>SUM(H27:H35)</f>
        <v>33786.032699999996</v>
      </c>
      <c r="I36" s="69"/>
      <c r="J36" s="7"/>
      <c r="K36" s="7"/>
      <c r="L36" s="1"/>
      <c r="M36" s="1"/>
      <c r="N36" s="1"/>
    </row>
    <row r="37" spans="2:14">
      <c r="B37" s="7"/>
      <c r="C37" s="7"/>
      <c r="D37" s="7"/>
      <c r="E37" s="17"/>
      <c r="F37" s="17"/>
      <c r="G37" s="17"/>
      <c r="H37" s="4"/>
    </row>
    <row r="38" spans="2:14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48"/>
      <c r="J38" s="48"/>
    </row>
    <row r="39" spans="2:14" ht="55.5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82"/>
      <c r="J39" s="171"/>
      <c r="K39" s="49"/>
      <c r="L39" s="50"/>
      <c r="M39" s="4"/>
      <c r="N39" s="4"/>
    </row>
    <row r="40" spans="2:14">
      <c r="B40" s="163" t="s">
        <v>11</v>
      </c>
      <c r="C40" s="222">
        <f>E40+G40</f>
        <v>1683298.1199999999</v>
      </c>
      <c r="D40" s="276"/>
      <c r="E40" s="222">
        <f>F27+F28+F29+F30+F31+F32+F33+F35+E19</f>
        <v>1272770.5999999999</v>
      </c>
      <c r="F40" s="276"/>
      <c r="G40" s="222">
        <f>F34+G19</f>
        <v>410527.52</v>
      </c>
      <c r="H40" s="278"/>
      <c r="I40" s="172"/>
      <c r="J40" s="173"/>
      <c r="K40" s="52"/>
      <c r="L40" s="52"/>
      <c r="M40" s="9"/>
    </row>
    <row r="41" spans="2:14" s="3" customFormat="1">
      <c r="B41" s="164" t="s">
        <v>12</v>
      </c>
      <c r="C41" s="224">
        <f>E41+G41</f>
        <v>1546123.81</v>
      </c>
      <c r="D41" s="261"/>
      <c r="E41" s="224">
        <f>E20+151166.34</f>
        <v>1169337.98</v>
      </c>
      <c r="F41" s="261"/>
      <c r="G41" s="224">
        <f>G20+54900.45</f>
        <v>376785.83</v>
      </c>
      <c r="H41" s="262"/>
      <c r="I41" s="172"/>
      <c r="J41" s="174"/>
      <c r="K41" s="54"/>
      <c r="L41" s="52"/>
      <c r="M41" s="9"/>
      <c r="N41" s="1"/>
    </row>
    <row r="42" spans="2:14" s="3" customFormat="1" ht="16.5" thickBot="1">
      <c r="B42" s="165" t="s">
        <v>89</v>
      </c>
      <c r="C42" s="226">
        <f>E42+G42</f>
        <v>1674312.4841</v>
      </c>
      <c r="D42" s="277"/>
      <c r="E42" s="226">
        <f>G27+G28+G29+G30+G31+G32+G33+G35+E21</f>
        <v>1280646.4841</v>
      </c>
      <c r="F42" s="277"/>
      <c r="G42" s="226">
        <f>G34+G21</f>
        <v>393666</v>
      </c>
      <c r="H42" s="279"/>
      <c r="I42" s="172"/>
      <c r="J42" s="51"/>
      <c r="K42" s="36"/>
      <c r="L42" s="36"/>
      <c r="M42" s="1"/>
      <c r="N42" s="1"/>
    </row>
    <row r="43" spans="2:14" s="3" customFormat="1" ht="30" customHeight="1" thickBot="1">
      <c r="B43" s="166" t="s">
        <v>154</v>
      </c>
      <c r="C43" s="232">
        <f>E43+G43</f>
        <v>-128188.6741</v>
      </c>
      <c r="D43" s="233"/>
      <c r="E43" s="234">
        <f>E41-E42</f>
        <v>-111308.50410000002</v>
      </c>
      <c r="F43" s="235"/>
      <c r="G43" s="234">
        <f>G41-G42</f>
        <v>-16880.169999999984</v>
      </c>
      <c r="H43" s="236"/>
      <c r="I43" s="175"/>
      <c r="J43" s="159"/>
      <c r="K43" s="36"/>
      <c r="L43" s="36"/>
      <c r="M43" s="1"/>
      <c r="N43" s="1"/>
    </row>
    <row r="44" spans="2:14" ht="15.75" customHeight="1">
      <c r="B44" s="82"/>
      <c r="C44" s="157"/>
      <c r="D44" s="157"/>
      <c r="E44" s="159"/>
      <c r="F44" s="159"/>
      <c r="G44" s="159"/>
      <c r="H44" s="159"/>
      <c r="I44" s="183"/>
      <c r="J44" s="34"/>
      <c r="K44" s="3"/>
      <c r="L44" s="3"/>
      <c r="M44" s="3"/>
      <c r="N44" s="3"/>
    </row>
    <row r="45" spans="2:14" ht="13.5" customHeight="1">
      <c r="B45" s="55" t="s">
        <v>78</v>
      </c>
      <c r="C45" s="190" t="s">
        <v>157</v>
      </c>
      <c r="D45" s="190"/>
      <c r="E45" s="190"/>
      <c r="F45" s="55" t="s">
        <v>13</v>
      </c>
      <c r="G45" s="55"/>
      <c r="H45" s="55"/>
      <c r="I45" s="183"/>
      <c r="J45" s="34"/>
      <c r="K45" s="3"/>
      <c r="L45" s="3"/>
      <c r="M45" s="3"/>
      <c r="N45" s="3"/>
    </row>
    <row r="46" spans="2:14" ht="8.25" customHeight="1">
      <c r="B46" s="55"/>
      <c r="C46" s="56"/>
      <c r="D46" s="56"/>
      <c r="E46" s="220"/>
      <c r="F46" s="55"/>
      <c r="G46" s="55"/>
      <c r="H46" s="55"/>
      <c r="I46" s="55"/>
      <c r="J46" s="3"/>
      <c r="K46" s="3"/>
      <c r="L46" s="3"/>
      <c r="M46" s="3"/>
      <c r="N46" s="3"/>
    </row>
    <row r="47" spans="2:14" ht="12" customHeight="1">
      <c r="B47" s="55" t="s">
        <v>79</v>
      </c>
      <c r="C47" s="190" t="s">
        <v>157</v>
      </c>
      <c r="D47" s="190"/>
      <c r="E47" s="190"/>
      <c r="F47" s="55" t="s">
        <v>94</v>
      </c>
      <c r="G47" s="55"/>
      <c r="H47" s="55"/>
      <c r="I47" s="55"/>
    </row>
    <row r="48" spans="2:14" ht="6.75" customHeight="1">
      <c r="B48" s="55"/>
      <c r="C48" s="56"/>
      <c r="D48" s="56"/>
      <c r="E48" s="220"/>
      <c r="F48" s="55"/>
      <c r="G48" s="55"/>
      <c r="H48" s="55"/>
      <c r="I48" s="55"/>
    </row>
    <row r="49" spans="2:9" ht="15" customHeight="1">
      <c r="B49" s="55" t="s">
        <v>80</v>
      </c>
      <c r="C49" s="190" t="s">
        <v>158</v>
      </c>
      <c r="D49" s="190"/>
      <c r="E49" s="190"/>
      <c r="F49" s="55" t="s">
        <v>96</v>
      </c>
      <c r="G49" s="55"/>
      <c r="H49" s="55"/>
      <c r="I49" s="8"/>
    </row>
    <row r="50" spans="2:9" ht="6.75" customHeight="1">
      <c r="B50" s="57"/>
      <c r="C50" s="58"/>
      <c r="D50" s="58"/>
      <c r="E50" s="220"/>
      <c r="F50" s="59"/>
      <c r="G50" s="57"/>
      <c r="H50" s="60"/>
      <c r="I50" s="55"/>
    </row>
    <row r="51" spans="2:9" ht="12.75" customHeight="1">
      <c r="B51" s="55" t="s">
        <v>81</v>
      </c>
      <c r="C51" s="190" t="s">
        <v>158</v>
      </c>
      <c r="D51" s="190"/>
      <c r="E51" s="190"/>
      <c r="F51" s="55" t="s">
        <v>96</v>
      </c>
      <c r="G51" s="55"/>
      <c r="H51" s="55"/>
      <c r="I51" s="4"/>
    </row>
    <row r="52" spans="2:9" ht="9.75" customHeight="1">
      <c r="B52" s="11"/>
      <c r="C52" s="73"/>
      <c r="D52" s="74"/>
      <c r="E52" s="220"/>
      <c r="F52" s="11"/>
      <c r="G52" s="11"/>
    </row>
  </sheetData>
  <mergeCells count="46">
    <mergeCell ref="C22:D22"/>
    <mergeCell ref="E22:F22"/>
    <mergeCell ref="G22:H22"/>
    <mergeCell ref="G18:H18"/>
    <mergeCell ref="G19:H19"/>
    <mergeCell ref="G20:H20"/>
    <mergeCell ref="G21:H21"/>
    <mergeCell ref="G40:H40"/>
    <mergeCell ref="G41:H41"/>
    <mergeCell ref="G42:H42"/>
    <mergeCell ref="C39:D39"/>
    <mergeCell ref="C40:D40"/>
    <mergeCell ref="C41:D41"/>
    <mergeCell ref="C42:D42"/>
    <mergeCell ref="C43:D43"/>
    <mergeCell ref="B24:H24"/>
    <mergeCell ref="C25:C26"/>
    <mergeCell ref="B25:B26"/>
    <mergeCell ref="D25:D26"/>
    <mergeCell ref="E25:E26"/>
    <mergeCell ref="F25:G25"/>
    <mergeCell ref="H25:H26"/>
    <mergeCell ref="G43:H43"/>
    <mergeCell ref="G39:H39"/>
    <mergeCell ref="E39:F39"/>
    <mergeCell ref="E40:F40"/>
    <mergeCell ref="E41:F41"/>
    <mergeCell ref="E42:F42"/>
    <mergeCell ref="E43:F43"/>
    <mergeCell ref="B38:H38"/>
    <mergeCell ref="M24:M25"/>
    <mergeCell ref="N24:N25"/>
    <mergeCell ref="B1:H1"/>
    <mergeCell ref="B2:H2"/>
    <mergeCell ref="B3:H3"/>
    <mergeCell ref="B4:H4"/>
    <mergeCell ref="B17:H17"/>
    <mergeCell ref="C18:D18"/>
    <mergeCell ref="C19:D19"/>
    <mergeCell ref="C20:D20"/>
    <mergeCell ref="C21:D21"/>
    <mergeCell ref="E18:F18"/>
    <mergeCell ref="E19:F19"/>
    <mergeCell ref="E20:F20"/>
    <mergeCell ref="E21:F21"/>
    <mergeCell ref="B6:H7"/>
  </mergeCells>
  <printOptions horizontalCentered="1"/>
  <pageMargins left="0.2" right="0.2" top="0.15748031496062992" bottom="0.23622047244094491" header="0.15748031496062992" footer="0.2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52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4.140625" style="17" customWidth="1"/>
    <col min="4" max="4" width="8.28515625" style="4" customWidth="1"/>
    <col min="5" max="5" width="9.42578125" style="4" customWidth="1"/>
    <col min="6" max="6" width="10.42578125" style="1" customWidth="1"/>
    <col min="7" max="8" width="10.28515625" style="1" customWidth="1"/>
    <col min="9" max="9" width="16.140625" style="1" customWidth="1"/>
    <col min="10" max="10" width="18.140625" style="1" customWidth="1"/>
    <col min="11" max="12" width="9.140625" style="1"/>
    <col min="13" max="13" width="16.42578125" style="298" customWidth="1"/>
    <col min="14" max="14" width="17.7109375" style="298" customWidth="1"/>
    <col min="15" max="16384" width="9.140625" style="1"/>
  </cols>
  <sheetData>
    <row r="1" spans="1:8">
      <c r="B1" s="221" t="s">
        <v>126</v>
      </c>
      <c r="C1" s="221"/>
      <c r="D1" s="221"/>
      <c r="E1" s="221"/>
      <c r="F1" s="221"/>
      <c r="G1" s="221"/>
      <c r="H1" s="221"/>
    </row>
    <row r="2" spans="1:8">
      <c r="B2" s="221" t="s">
        <v>127</v>
      </c>
      <c r="C2" s="221"/>
      <c r="D2" s="221"/>
      <c r="E2" s="221"/>
      <c r="F2" s="221"/>
      <c r="G2" s="221"/>
      <c r="H2" s="221"/>
    </row>
    <row r="3" spans="1:8">
      <c r="B3" s="221" t="s">
        <v>165</v>
      </c>
      <c r="C3" s="221"/>
      <c r="D3" s="221"/>
      <c r="E3" s="221"/>
      <c r="F3" s="221"/>
      <c r="G3" s="221"/>
      <c r="H3" s="221"/>
    </row>
    <row r="4" spans="1:8">
      <c r="B4" s="221" t="s">
        <v>191</v>
      </c>
      <c r="C4" s="221"/>
      <c r="D4" s="221"/>
      <c r="E4" s="221"/>
      <c r="F4" s="221"/>
      <c r="G4" s="221"/>
      <c r="H4" s="221"/>
    </row>
    <row r="5" spans="1:8" ht="19.5" customHeight="1">
      <c r="A5" s="75"/>
      <c r="B5" s="238" t="s">
        <v>184</v>
      </c>
      <c r="C5" s="238"/>
      <c r="D5" s="238"/>
      <c r="E5" s="238"/>
      <c r="F5" s="238"/>
      <c r="G5" s="238"/>
      <c r="H5" s="238"/>
    </row>
    <row r="6" spans="1:8" ht="20.25" customHeight="1">
      <c r="A6" s="75"/>
      <c r="B6" s="238"/>
      <c r="C6" s="238"/>
      <c r="D6" s="238"/>
      <c r="E6" s="238"/>
      <c r="F6" s="238"/>
      <c r="G6" s="238"/>
      <c r="H6" s="238"/>
    </row>
    <row r="7" spans="1:8" ht="9" customHeight="1">
      <c r="B7" s="71"/>
      <c r="C7" s="71"/>
      <c r="D7" s="71"/>
      <c r="E7" s="71"/>
      <c r="F7" s="71"/>
      <c r="G7" s="71"/>
      <c r="H7" s="71"/>
    </row>
    <row r="8" spans="1:8">
      <c r="B8" s="176" t="s">
        <v>0</v>
      </c>
      <c r="C8" s="177"/>
      <c r="D8" s="245" t="s">
        <v>31</v>
      </c>
      <c r="E8" s="245"/>
      <c r="F8" s="176"/>
    </row>
    <row r="9" spans="1:8">
      <c r="B9" s="176" t="s">
        <v>1</v>
      </c>
      <c r="C9" s="177"/>
      <c r="D9" s="208">
        <v>1965</v>
      </c>
      <c r="E9" s="208"/>
      <c r="F9" s="176"/>
    </row>
    <row r="10" spans="1:8" hidden="1" outlineLevel="1">
      <c r="B10" s="176" t="s">
        <v>2</v>
      </c>
      <c r="C10" s="177"/>
      <c r="D10" s="208">
        <v>4</v>
      </c>
      <c r="E10" s="208"/>
      <c r="F10" s="176"/>
    </row>
    <row r="11" spans="1:8" hidden="1" outlineLevel="1">
      <c r="B11" s="176" t="s">
        <v>3</v>
      </c>
      <c r="C11" s="177"/>
      <c r="D11" s="208">
        <v>32</v>
      </c>
      <c r="E11" s="208"/>
      <c r="F11" s="176"/>
    </row>
    <row r="12" spans="1:8" ht="30.75" hidden="1" customHeight="1" outlineLevel="1">
      <c r="B12" s="178" t="s">
        <v>4</v>
      </c>
      <c r="C12" s="179"/>
      <c r="D12" s="208" t="s">
        <v>32</v>
      </c>
      <c r="E12" s="208"/>
      <c r="F12" s="176"/>
    </row>
    <row r="13" spans="1:8" collapsed="1">
      <c r="B13" s="176" t="s">
        <v>5</v>
      </c>
      <c r="C13" s="177"/>
      <c r="D13" s="208" t="s">
        <v>109</v>
      </c>
      <c r="E13" s="208"/>
      <c r="F13" s="176"/>
      <c r="H13" s="7"/>
    </row>
    <row r="14" spans="1:8" hidden="1" outlineLevel="1">
      <c r="B14" s="1" t="s">
        <v>6</v>
      </c>
      <c r="D14" s="169" t="s">
        <v>7</v>
      </c>
      <c r="E14" s="169"/>
    </row>
    <row r="15" spans="1:8" ht="30.75" hidden="1" customHeight="1" outlineLevel="1">
      <c r="B15" s="18" t="s">
        <v>8</v>
      </c>
      <c r="C15" s="19"/>
      <c r="D15" s="209" t="s">
        <v>33</v>
      </c>
      <c r="E15" s="169"/>
      <c r="H15" s="7"/>
    </row>
    <row r="16" spans="1:8" ht="21.75" customHeight="1" collapsed="1" thickBot="1">
      <c r="B16" s="250" t="s">
        <v>182</v>
      </c>
      <c r="C16" s="250"/>
      <c r="D16" s="250"/>
      <c r="E16" s="250"/>
      <c r="F16" s="250"/>
      <c r="G16" s="250"/>
      <c r="H16" s="250"/>
    </row>
    <row r="17" spans="2:14" ht="46.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</row>
    <row r="18" spans="2:14">
      <c r="B18" s="163" t="s">
        <v>11</v>
      </c>
      <c r="C18" s="222">
        <v>1589012.85</v>
      </c>
      <c r="D18" s="223"/>
      <c r="E18" s="228">
        <v>1105954.51</v>
      </c>
      <c r="F18" s="260"/>
      <c r="G18" s="228">
        <v>483058.34</v>
      </c>
      <c r="H18" s="229"/>
    </row>
    <row r="19" spans="2:14">
      <c r="B19" s="164" t="s">
        <v>12</v>
      </c>
      <c r="C19" s="224">
        <v>1551605.5</v>
      </c>
      <c r="D19" s="225"/>
      <c r="E19" s="224">
        <v>1079872.8999999999</v>
      </c>
      <c r="F19" s="261"/>
      <c r="G19" s="224">
        <v>471732.60000000003</v>
      </c>
      <c r="H19" s="262"/>
    </row>
    <row r="20" spans="2:14" ht="16.5" thickBot="1">
      <c r="B20" s="165" t="s">
        <v>89</v>
      </c>
      <c r="C20" s="226">
        <v>1580679.9564</v>
      </c>
      <c r="D20" s="227"/>
      <c r="E20" s="254">
        <v>1115078.9564</v>
      </c>
      <c r="F20" s="256"/>
      <c r="G20" s="254">
        <f>465601+145</f>
        <v>465746</v>
      </c>
      <c r="H20" s="255"/>
    </row>
    <row r="21" spans="2:14" ht="31.5" customHeight="1" thickBot="1">
      <c r="B21" s="166" t="s">
        <v>153</v>
      </c>
      <c r="C21" s="232">
        <f>E21+G21</f>
        <v>-29219.456400000083</v>
      </c>
      <c r="D21" s="233"/>
      <c r="E21" s="234">
        <f>E19-E20</f>
        <v>-35206.056400000118</v>
      </c>
      <c r="F21" s="235"/>
      <c r="G21" s="234">
        <f>G19-G20</f>
        <v>5986.6000000000349</v>
      </c>
      <c r="H21" s="236"/>
    </row>
    <row r="22" spans="2:14">
      <c r="B22" s="82"/>
      <c r="C22" s="157"/>
      <c r="D22" s="157"/>
      <c r="E22" s="159"/>
      <c r="F22" s="159"/>
      <c r="G22" s="159"/>
      <c r="H22" s="159"/>
    </row>
    <row r="23" spans="2:14" ht="31.5" customHeight="1" thickBot="1">
      <c r="B23" s="247" t="s">
        <v>185</v>
      </c>
      <c r="C23" s="247"/>
      <c r="D23" s="247"/>
      <c r="E23" s="247"/>
      <c r="F23" s="247"/>
      <c r="G23" s="247"/>
      <c r="H23" s="247"/>
      <c r="L23" s="7"/>
      <c r="M23" s="299" t="s">
        <v>155</v>
      </c>
      <c r="N23" s="299" t="s">
        <v>156</v>
      </c>
    </row>
    <row r="24" spans="2:14" ht="34.5" customHeight="1">
      <c r="B24" s="273" t="s">
        <v>95</v>
      </c>
      <c r="C24" s="271" t="s">
        <v>97</v>
      </c>
      <c r="D24" s="271" t="s">
        <v>123</v>
      </c>
      <c r="E24" s="248" t="s">
        <v>186</v>
      </c>
      <c r="F24" s="267" t="s">
        <v>98</v>
      </c>
      <c r="G24" s="268"/>
      <c r="H24" s="239" t="s">
        <v>129</v>
      </c>
      <c r="L24" s="7"/>
      <c r="M24" s="300"/>
      <c r="N24" s="300"/>
    </row>
    <row r="25" spans="2:14" ht="44.2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M25" s="301">
        <v>191057.47</v>
      </c>
      <c r="N25" s="301">
        <f>191057.47*1.01</f>
        <v>192968.0447</v>
      </c>
    </row>
    <row r="26" spans="2:14" ht="44.25" customHeight="1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18631.17922723091</v>
      </c>
      <c r="G26" s="27">
        <f>$N$25/$N$26*E26</f>
        <v>18817.491019503217</v>
      </c>
      <c r="H26" s="28">
        <f>F26-G26</f>
        <v>-186.31179227230677</v>
      </c>
      <c r="I26" s="29"/>
      <c r="J26" s="207"/>
      <c r="K26" s="207"/>
      <c r="L26" s="30"/>
      <c r="M26" s="303">
        <f>E35-E33</f>
        <v>10.870000000000001</v>
      </c>
      <c r="N26" s="303">
        <f>E35-E33</f>
        <v>10.870000000000001</v>
      </c>
    </row>
    <row r="27" spans="2:14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4" si="0">$M$25/$M$26*E27</f>
        <v>20916.135170193189</v>
      </c>
      <c r="G27" s="27">
        <f t="shared" ref="G27:G31" si="1">$N$25/$N$26*E27</f>
        <v>21125.296521895121</v>
      </c>
      <c r="H27" s="28">
        <f t="shared" ref="H27:H32" si="2">F27-G27</f>
        <v>-209.16135170193229</v>
      </c>
      <c r="I27" s="34"/>
      <c r="J27" s="3"/>
      <c r="K27" s="3"/>
      <c r="L27" s="3"/>
      <c r="M27" s="304"/>
      <c r="N27" s="304"/>
    </row>
    <row r="28" spans="2:14" ht="38.25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5624.5069365225381</v>
      </c>
      <c r="G28" s="27">
        <f t="shared" si="1"/>
        <v>5680.7520058877635</v>
      </c>
      <c r="H28" s="28">
        <f t="shared" si="2"/>
        <v>-56.24506936522539</v>
      </c>
      <c r="I28" s="36"/>
      <c r="L28" s="7"/>
    </row>
    <row r="29" spans="2:14" ht="25.5">
      <c r="B29" s="35" t="s">
        <v>85</v>
      </c>
      <c r="C29" s="37" t="s">
        <v>101</v>
      </c>
      <c r="D29" s="24" t="s">
        <v>100</v>
      </c>
      <c r="E29" s="32">
        <v>0.16</v>
      </c>
      <c r="F29" s="26">
        <f t="shared" si="0"/>
        <v>2812.2534682612691</v>
      </c>
      <c r="G29" s="27">
        <f t="shared" si="1"/>
        <v>2840.3760029438818</v>
      </c>
      <c r="H29" s="28">
        <f t="shared" si="2"/>
        <v>-28.122534682612695</v>
      </c>
      <c r="I29" s="36"/>
      <c r="L29" s="7"/>
    </row>
    <row r="30" spans="2:14" ht="51">
      <c r="B30" s="31" t="s">
        <v>88</v>
      </c>
      <c r="C30" s="23" t="s">
        <v>144</v>
      </c>
      <c r="D30" s="24" t="s">
        <v>100</v>
      </c>
      <c r="E30" s="32">
        <v>1.18</v>
      </c>
      <c r="F30" s="26">
        <f t="shared" si="0"/>
        <v>20740.369328426859</v>
      </c>
      <c r="G30" s="27">
        <f t="shared" si="1"/>
        <v>20947.773021711128</v>
      </c>
      <c r="H30" s="28">
        <f t="shared" si="2"/>
        <v>-207.40369328426823</v>
      </c>
      <c r="I30" s="36"/>
    </row>
    <row r="31" spans="2:14" ht="215.25" customHeight="1">
      <c r="B31" s="31" t="s">
        <v>147</v>
      </c>
      <c r="C31" s="23" t="s">
        <v>102</v>
      </c>
      <c r="D31" s="24" t="s">
        <v>100</v>
      </c>
      <c r="E31" s="32">
        <v>5.61</v>
      </c>
      <c r="F31" s="26">
        <f t="shared" si="0"/>
        <v>98604.637230910754</v>
      </c>
      <c r="G31" s="27">
        <f t="shared" si="1"/>
        <v>99590.683603219863</v>
      </c>
      <c r="H31" s="28">
        <f t="shared" si="2"/>
        <v>-986.04637230910885</v>
      </c>
      <c r="I31" s="34"/>
      <c r="J31" s="3"/>
      <c r="K31" s="3"/>
      <c r="L31" s="6"/>
      <c r="M31" s="304"/>
      <c r="N31" s="304"/>
    </row>
    <row r="32" spans="2:14" ht="111" customHeight="1">
      <c r="B32" s="31" t="s">
        <v>104</v>
      </c>
      <c r="C32" s="23" t="s">
        <v>99</v>
      </c>
      <c r="D32" s="24" t="s">
        <v>100</v>
      </c>
      <c r="E32" s="32">
        <v>0.24</v>
      </c>
      <c r="F32" s="26">
        <f t="shared" si="0"/>
        <v>4218.3802023919034</v>
      </c>
      <c r="G32" s="27">
        <f t="shared" ref="G32:G34" si="3">$N$25/$N$26*E32</f>
        <v>4260.5640044158226</v>
      </c>
      <c r="H32" s="28">
        <f t="shared" si="2"/>
        <v>-42.18380202391927</v>
      </c>
      <c r="I32" s="36"/>
    </row>
    <row r="33" spans="2:14" ht="36">
      <c r="B33" s="35" t="s">
        <v>92</v>
      </c>
      <c r="C33" s="23" t="s">
        <v>99</v>
      </c>
      <c r="D33" s="24" t="s">
        <v>100</v>
      </c>
      <c r="E33" s="32">
        <v>6.38</v>
      </c>
      <c r="F33" s="26">
        <v>112138.61</v>
      </c>
      <c r="G33" s="33">
        <v>136322</v>
      </c>
      <c r="H33" s="28">
        <f>F33-G33</f>
        <v>-24183.39</v>
      </c>
      <c r="I33" s="36"/>
      <c r="L33" s="7"/>
    </row>
    <row r="34" spans="2:14" ht="16.5" thickBot="1">
      <c r="B34" s="66" t="s">
        <v>86</v>
      </c>
      <c r="C34" s="39" t="s">
        <v>102</v>
      </c>
      <c r="D34" s="40" t="s">
        <v>100</v>
      </c>
      <c r="E34" s="41">
        <v>1.1100000000000001</v>
      </c>
      <c r="F34" s="26">
        <f t="shared" si="0"/>
        <v>19510.008436062555</v>
      </c>
      <c r="G34" s="27">
        <f t="shared" si="3"/>
        <v>19705.108520423182</v>
      </c>
      <c r="H34" s="28">
        <f>F34-G34</f>
        <v>-195.10008436062708</v>
      </c>
      <c r="I34" s="36"/>
    </row>
    <row r="35" spans="2:14" ht="16.5" thickBot="1">
      <c r="B35" s="42" t="s">
        <v>90</v>
      </c>
      <c r="C35" s="43"/>
      <c r="D35" s="43"/>
      <c r="E35" s="44">
        <f>SUM(E26:E34)</f>
        <v>17.25</v>
      </c>
      <c r="F35" s="45">
        <f>SUM(F26:F34)</f>
        <v>303196.07999999996</v>
      </c>
      <c r="G35" s="46">
        <f>SUM(G26:G34)</f>
        <v>329290.04469999997</v>
      </c>
      <c r="H35" s="47">
        <f>SUM(H26:H34)</f>
        <v>-26093.9647</v>
      </c>
      <c r="I35" s="69"/>
    </row>
    <row r="36" spans="2:14">
      <c r="B36" s="7"/>
      <c r="C36" s="7"/>
      <c r="D36" s="7"/>
      <c r="E36" s="17"/>
      <c r="F36" s="17"/>
      <c r="G36" s="17"/>
      <c r="H36" s="4"/>
    </row>
    <row r="37" spans="2:14" ht="16.5" customHeight="1" thickBot="1">
      <c r="B37" s="250" t="s">
        <v>187</v>
      </c>
      <c r="C37" s="250"/>
      <c r="D37" s="250"/>
      <c r="E37" s="250"/>
      <c r="F37" s="250"/>
      <c r="G37" s="250"/>
      <c r="H37" s="250"/>
      <c r="I37" s="48"/>
      <c r="J37" s="48"/>
    </row>
    <row r="38" spans="2:14" ht="46.5" customHeight="1" thickBot="1">
      <c r="B38" s="193" t="s">
        <v>188</v>
      </c>
      <c r="C38" s="230" t="s">
        <v>103</v>
      </c>
      <c r="D38" s="231"/>
      <c r="E38" s="257" t="s">
        <v>9</v>
      </c>
      <c r="F38" s="258"/>
      <c r="G38" s="257" t="s">
        <v>10</v>
      </c>
      <c r="H38" s="259"/>
      <c r="I38" s="182"/>
      <c r="J38" s="171"/>
      <c r="K38" s="49"/>
      <c r="L38" s="50"/>
      <c r="M38" s="305"/>
      <c r="N38" s="305"/>
    </row>
    <row r="39" spans="2:14">
      <c r="B39" s="163" t="s">
        <v>11</v>
      </c>
      <c r="C39" s="228">
        <f>E39+G39</f>
        <v>1892208.9300000002</v>
      </c>
      <c r="D39" s="260"/>
      <c r="E39" s="228">
        <f>F26+F27+F28+F29+F30+F31+F32+F34+E18</f>
        <v>1297011.98</v>
      </c>
      <c r="F39" s="260"/>
      <c r="G39" s="228">
        <f>F33+G18</f>
        <v>595196.95000000007</v>
      </c>
      <c r="H39" s="229"/>
      <c r="I39" s="172"/>
      <c r="J39" s="173"/>
      <c r="K39" s="52"/>
      <c r="L39" s="52"/>
      <c r="M39" s="306"/>
    </row>
    <row r="40" spans="2:14">
      <c r="B40" s="164" t="s">
        <v>12</v>
      </c>
      <c r="C40" s="224">
        <f>E40+G40</f>
        <v>1831121.37</v>
      </c>
      <c r="D40" s="261"/>
      <c r="E40" s="224">
        <f>E19+176135.51</f>
        <v>1256008.4099999999</v>
      </c>
      <c r="F40" s="261"/>
      <c r="G40" s="224">
        <f>G19+103380.36</f>
        <v>575112.96000000008</v>
      </c>
      <c r="H40" s="262"/>
      <c r="I40" s="172"/>
      <c r="J40" s="174"/>
      <c r="K40" s="54"/>
      <c r="L40" s="52"/>
      <c r="M40" s="306"/>
    </row>
    <row r="41" spans="2:14" ht="16.5" thickBot="1">
      <c r="B41" s="165" t="s">
        <v>89</v>
      </c>
      <c r="C41" s="254">
        <f>E41+G41</f>
        <v>1910115.0011</v>
      </c>
      <c r="D41" s="256"/>
      <c r="E41" s="254">
        <f>G26+G27+G28+G29+G30+G31+G32+G34+E20</f>
        <v>1308047.0011</v>
      </c>
      <c r="F41" s="256"/>
      <c r="G41" s="254">
        <f>G33+G20</f>
        <v>602068</v>
      </c>
      <c r="H41" s="255"/>
      <c r="I41" s="172"/>
      <c r="J41" s="51"/>
      <c r="K41" s="36"/>
      <c r="L41" s="36"/>
    </row>
    <row r="42" spans="2:14" ht="36.75" customHeight="1" thickBot="1">
      <c r="B42" s="166" t="s">
        <v>154</v>
      </c>
      <c r="C42" s="232">
        <f>E42+G42</f>
        <v>-78993.631099999999</v>
      </c>
      <c r="D42" s="233"/>
      <c r="E42" s="234">
        <f>E40-E41</f>
        <v>-52038.591100000078</v>
      </c>
      <c r="F42" s="235"/>
      <c r="G42" s="234">
        <f>G40-G41</f>
        <v>-26955.039999999921</v>
      </c>
      <c r="H42" s="236"/>
      <c r="I42" s="175"/>
      <c r="J42" s="159"/>
      <c r="K42" s="36"/>
      <c r="L42" s="36"/>
    </row>
    <row r="43" spans="2:14" ht="11.25" customHeight="1">
      <c r="B43" s="82"/>
      <c r="C43" s="157"/>
      <c r="D43" s="157"/>
      <c r="E43" s="159"/>
      <c r="F43" s="159"/>
      <c r="G43" s="159"/>
      <c r="H43" s="159"/>
      <c r="I43" s="183"/>
      <c r="J43" s="34"/>
      <c r="K43" s="3"/>
      <c r="L43" s="3"/>
      <c r="M43" s="304"/>
      <c r="N43" s="304"/>
    </row>
    <row r="44" spans="2:14" ht="15.75" customHeight="1">
      <c r="B44" s="55" t="s">
        <v>78</v>
      </c>
      <c r="C44" s="237" t="s">
        <v>157</v>
      </c>
      <c r="D44" s="237"/>
      <c r="E44" s="237"/>
      <c r="F44" s="252" t="s">
        <v>13</v>
      </c>
      <c r="G44" s="252"/>
      <c r="H44" s="55"/>
      <c r="I44" s="183"/>
      <c r="J44" s="34"/>
      <c r="K44" s="3"/>
      <c r="L44" s="3"/>
      <c r="M44" s="304"/>
      <c r="N44" s="304"/>
    </row>
    <row r="45" spans="2:14" ht="5.25" customHeight="1">
      <c r="B45" s="55"/>
      <c r="C45" s="56"/>
      <c r="D45" s="56"/>
      <c r="E45" s="220"/>
      <c r="F45" s="253"/>
      <c r="G45" s="253"/>
      <c r="H45" s="55"/>
      <c r="I45" s="55"/>
      <c r="J45" s="3"/>
      <c r="K45" s="3"/>
      <c r="L45" s="3"/>
      <c r="M45" s="304"/>
      <c r="N45" s="304"/>
    </row>
    <row r="46" spans="2:14" ht="15" customHeight="1">
      <c r="B46" s="55" t="s">
        <v>79</v>
      </c>
      <c r="C46" s="237" t="s">
        <v>157</v>
      </c>
      <c r="D46" s="237"/>
      <c r="E46" s="237"/>
      <c r="F46" s="252" t="s">
        <v>94</v>
      </c>
      <c r="G46" s="252"/>
      <c r="H46" s="55"/>
      <c r="I46" s="55"/>
    </row>
    <row r="47" spans="2:14" ht="8.25" customHeight="1">
      <c r="B47" s="55"/>
      <c r="C47" s="56"/>
      <c r="D47" s="56"/>
      <c r="E47" s="220"/>
      <c r="F47" s="252"/>
      <c r="G47" s="252"/>
      <c r="H47" s="55"/>
      <c r="I47" s="55"/>
    </row>
    <row r="48" spans="2:14" ht="12.75" customHeight="1">
      <c r="B48" s="55" t="s">
        <v>80</v>
      </c>
      <c r="C48" s="237" t="s">
        <v>158</v>
      </c>
      <c r="D48" s="237"/>
      <c r="E48" s="237"/>
      <c r="F48" s="252" t="s">
        <v>96</v>
      </c>
      <c r="G48" s="252"/>
      <c r="H48" s="55"/>
      <c r="I48" s="55"/>
    </row>
    <row r="49" spans="2:9" ht="7.5" customHeight="1">
      <c r="B49" s="57"/>
      <c r="C49" s="58"/>
      <c r="D49" s="58"/>
      <c r="E49" s="220"/>
      <c r="F49" s="59"/>
      <c r="G49" s="57"/>
      <c r="H49" s="60"/>
      <c r="I49" s="55"/>
    </row>
    <row r="50" spans="2:9" ht="12.75" customHeight="1">
      <c r="B50" s="55" t="s">
        <v>81</v>
      </c>
      <c r="C50" s="237" t="s">
        <v>158</v>
      </c>
      <c r="D50" s="237"/>
      <c r="E50" s="237"/>
      <c r="F50" s="252" t="s">
        <v>96</v>
      </c>
      <c r="G50" s="252"/>
      <c r="H50" s="55"/>
      <c r="I50" s="55"/>
    </row>
    <row r="51" spans="2:9">
      <c r="B51" s="11"/>
      <c r="C51" s="73"/>
      <c r="D51" s="74"/>
      <c r="E51" s="220"/>
      <c r="F51" s="11"/>
      <c r="G51" s="11"/>
      <c r="H51" s="55"/>
      <c r="I51" s="55"/>
    </row>
    <row r="52" spans="2:9">
      <c r="H52" s="55"/>
      <c r="I52" s="55"/>
    </row>
  </sheetData>
  <mergeCells count="57">
    <mergeCell ref="M23:M24"/>
    <mergeCell ref="N23:N24"/>
    <mergeCell ref="C38:D38"/>
    <mergeCell ref="C39:D39"/>
    <mergeCell ref="C40:D40"/>
    <mergeCell ref="G21:H21"/>
    <mergeCell ref="H24:H25"/>
    <mergeCell ref="B37:H37"/>
    <mergeCell ref="D24:D25"/>
    <mergeCell ref="E24:E25"/>
    <mergeCell ref="F24:G24"/>
    <mergeCell ref="C21:D21"/>
    <mergeCell ref="E21:F21"/>
    <mergeCell ref="F50:G50"/>
    <mergeCell ref="E39:F39"/>
    <mergeCell ref="F46:G46"/>
    <mergeCell ref="E41:F41"/>
    <mergeCell ref="E42:F42"/>
    <mergeCell ref="E40:F40"/>
    <mergeCell ref="F47:G47"/>
    <mergeCell ref="C44:E44"/>
    <mergeCell ref="C46:E46"/>
    <mergeCell ref="C48:E48"/>
    <mergeCell ref="F48:G48"/>
    <mergeCell ref="C50:E50"/>
    <mergeCell ref="C41:D41"/>
    <mergeCell ref="C42:D42"/>
    <mergeCell ref="G41:H41"/>
    <mergeCell ref="B16:H16"/>
    <mergeCell ref="G19:H19"/>
    <mergeCell ref="C20:D20"/>
    <mergeCell ref="C19:D19"/>
    <mergeCell ref="E19:F19"/>
    <mergeCell ref="C17:D17"/>
    <mergeCell ref="E17:F17"/>
    <mergeCell ref="G17:H17"/>
    <mergeCell ref="C18:D18"/>
    <mergeCell ref="E18:F18"/>
    <mergeCell ref="G18:H18"/>
    <mergeCell ref="E20:F20"/>
    <mergeCell ref="G20:H20"/>
    <mergeCell ref="B1:H1"/>
    <mergeCell ref="F44:G44"/>
    <mergeCell ref="E38:F38"/>
    <mergeCell ref="F45:G45"/>
    <mergeCell ref="D8:E8"/>
    <mergeCell ref="B2:H2"/>
    <mergeCell ref="B3:H3"/>
    <mergeCell ref="B4:H4"/>
    <mergeCell ref="G38:H38"/>
    <mergeCell ref="B23:H23"/>
    <mergeCell ref="B24:B25"/>
    <mergeCell ref="C24:C25"/>
    <mergeCell ref="B5:H6"/>
    <mergeCell ref="G42:H42"/>
    <mergeCell ref="G39:H39"/>
    <mergeCell ref="G40:H40"/>
  </mergeCells>
  <printOptions horizontalCentered="1"/>
  <pageMargins left="0.19685039370078741" right="0.19685039370078741" top="0.15748031496062992" bottom="0.23622047244094491" header="0.16" footer="0.14000000000000001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V54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5.85546875" style="1" customWidth="1"/>
    <col min="3" max="3" width="15.140625" style="4" customWidth="1"/>
    <col min="4" max="4" width="9.140625" style="4" customWidth="1"/>
    <col min="5" max="5" width="10" style="4" customWidth="1"/>
    <col min="6" max="6" width="10.28515625" style="1" customWidth="1"/>
    <col min="7" max="7" width="10.42578125" style="1" customWidth="1"/>
    <col min="8" max="8" width="10.5703125" style="1" customWidth="1"/>
    <col min="9" max="9" width="15.7109375" style="1" customWidth="1"/>
    <col min="10" max="10" width="18.7109375" style="1" customWidth="1"/>
    <col min="11" max="12" width="9.140625" style="1"/>
    <col min="13" max="13" width="15.85546875" style="298" customWidth="1"/>
    <col min="14" max="14" width="16.140625" style="298" customWidth="1"/>
    <col min="15" max="15" width="15.140625" style="1" customWidth="1"/>
    <col min="16" max="16" width="16.42578125" style="1" hidden="1" customWidth="1"/>
    <col min="17" max="17" width="12.42578125" style="1" customWidth="1"/>
    <col min="18" max="18" width="13.140625" style="1" customWidth="1"/>
    <col min="19" max="19" width="14.42578125" style="1" customWidth="1"/>
    <col min="20" max="20" width="9.140625" style="1"/>
    <col min="21" max="22" width="11.7109375" style="1" customWidth="1"/>
    <col min="23" max="16384" width="9.140625" style="1"/>
  </cols>
  <sheetData>
    <row r="1" spans="1:22">
      <c r="B1" s="221" t="s">
        <v>126</v>
      </c>
      <c r="C1" s="221"/>
      <c r="D1" s="221"/>
      <c r="E1" s="221"/>
      <c r="F1" s="221"/>
      <c r="G1" s="221"/>
      <c r="H1" s="221"/>
    </row>
    <row r="2" spans="1:22">
      <c r="B2" s="221" t="s">
        <v>127</v>
      </c>
      <c r="C2" s="221"/>
      <c r="D2" s="221"/>
      <c r="E2" s="221"/>
      <c r="F2" s="221"/>
      <c r="G2" s="221"/>
      <c r="H2" s="221"/>
    </row>
    <row r="3" spans="1:22">
      <c r="B3" s="221" t="s">
        <v>166</v>
      </c>
      <c r="C3" s="221"/>
      <c r="D3" s="221"/>
      <c r="E3" s="221"/>
      <c r="F3" s="221"/>
      <c r="G3" s="221"/>
      <c r="H3" s="221"/>
    </row>
    <row r="4" spans="1:22">
      <c r="B4" s="221" t="s">
        <v>191</v>
      </c>
      <c r="C4" s="221"/>
      <c r="D4" s="221"/>
      <c r="E4" s="221"/>
      <c r="F4" s="221"/>
      <c r="G4" s="221"/>
      <c r="H4" s="221"/>
    </row>
    <row r="5" spans="1:22" ht="19.5" customHeight="1">
      <c r="A5" s="75"/>
      <c r="B5" s="238" t="s">
        <v>184</v>
      </c>
      <c r="C5" s="238"/>
      <c r="D5" s="238"/>
      <c r="E5" s="238"/>
      <c r="F5" s="238"/>
      <c r="G5" s="238"/>
      <c r="H5" s="238"/>
      <c r="O5" s="280"/>
      <c r="P5" s="280"/>
      <c r="Q5" s="280"/>
      <c r="R5" s="280"/>
      <c r="S5" s="280"/>
      <c r="T5" s="76"/>
      <c r="U5" s="76"/>
      <c r="V5" s="75"/>
    </row>
    <row r="6" spans="1:22" ht="20.25" customHeight="1">
      <c r="A6" s="75"/>
      <c r="B6" s="238"/>
      <c r="C6" s="238"/>
      <c r="D6" s="238"/>
      <c r="E6" s="238"/>
      <c r="F6" s="238"/>
      <c r="G6" s="238"/>
      <c r="H6" s="238"/>
      <c r="O6" s="280"/>
      <c r="P6" s="280"/>
      <c r="Q6" s="280"/>
      <c r="R6" s="280"/>
      <c r="S6" s="280"/>
      <c r="T6" s="76"/>
      <c r="U6" s="76"/>
      <c r="V6" s="75"/>
    </row>
    <row r="7" spans="1:22" ht="8.25" customHeight="1">
      <c r="B7" s="71"/>
      <c r="C7" s="71"/>
      <c r="D7" s="71"/>
      <c r="E7" s="71"/>
      <c r="F7" s="71"/>
      <c r="G7" s="71"/>
      <c r="H7" s="71"/>
      <c r="O7" s="280"/>
      <c r="P7" s="280"/>
      <c r="Q7" s="280"/>
      <c r="R7" s="280"/>
      <c r="S7" s="280"/>
      <c r="T7" s="36"/>
      <c r="U7" s="36"/>
    </row>
    <row r="8" spans="1:22">
      <c r="B8" s="176" t="s">
        <v>0</v>
      </c>
      <c r="C8" s="185"/>
      <c r="D8" s="245" t="s">
        <v>34</v>
      </c>
      <c r="E8" s="245"/>
      <c r="O8" s="36"/>
      <c r="P8" s="50"/>
      <c r="Q8" s="281"/>
      <c r="R8" s="281"/>
      <c r="S8" s="281"/>
      <c r="T8" s="36"/>
      <c r="U8" s="36"/>
    </row>
    <row r="9" spans="1:22">
      <c r="B9" s="176" t="s">
        <v>1</v>
      </c>
      <c r="C9" s="185"/>
      <c r="D9" s="208">
        <v>1964</v>
      </c>
      <c r="E9" s="208"/>
      <c r="O9" s="36"/>
      <c r="P9" s="50"/>
      <c r="Q9" s="214"/>
      <c r="R9" s="214"/>
      <c r="S9" s="214"/>
      <c r="T9" s="36"/>
      <c r="U9" s="36"/>
    </row>
    <row r="10" spans="1:22" hidden="1" outlineLevel="1">
      <c r="B10" s="176" t="s">
        <v>2</v>
      </c>
      <c r="C10" s="185"/>
      <c r="D10" s="208">
        <v>4</v>
      </c>
      <c r="E10" s="208"/>
      <c r="O10" s="36"/>
      <c r="P10" s="50"/>
      <c r="Q10" s="214"/>
      <c r="R10" s="214"/>
      <c r="S10" s="214"/>
      <c r="T10" s="36"/>
      <c r="U10" s="36"/>
    </row>
    <row r="11" spans="1:22" hidden="1" outlineLevel="1">
      <c r="B11" s="176" t="s">
        <v>3</v>
      </c>
      <c r="C11" s="185"/>
      <c r="D11" s="208">
        <v>64</v>
      </c>
      <c r="E11" s="208"/>
      <c r="O11" s="36"/>
      <c r="P11" s="50"/>
      <c r="Q11" s="214"/>
      <c r="R11" s="214"/>
      <c r="S11" s="214"/>
      <c r="T11" s="36"/>
      <c r="U11" s="36"/>
    </row>
    <row r="12" spans="1:22" ht="30.75" hidden="1" customHeight="1" outlineLevel="1">
      <c r="B12" s="178" t="s">
        <v>4</v>
      </c>
      <c r="C12" s="186"/>
      <c r="D12" s="208" t="s">
        <v>35</v>
      </c>
      <c r="E12" s="208"/>
      <c r="O12" s="78"/>
      <c r="P12" s="79"/>
      <c r="Q12" s="214"/>
      <c r="R12" s="214"/>
      <c r="S12" s="214"/>
      <c r="T12" s="36"/>
      <c r="U12" s="36"/>
    </row>
    <row r="13" spans="1:22" collapsed="1">
      <c r="B13" s="176" t="s">
        <v>5</v>
      </c>
      <c r="C13" s="185"/>
      <c r="D13" s="208" t="s">
        <v>110</v>
      </c>
      <c r="E13" s="208"/>
      <c r="I13" s="7"/>
      <c r="O13" s="36"/>
      <c r="P13" s="50"/>
      <c r="Q13" s="214"/>
      <c r="R13" s="214"/>
      <c r="S13" s="214"/>
      <c r="T13" s="36"/>
      <c r="U13" s="36"/>
    </row>
    <row r="14" spans="1:22">
      <c r="B14" s="176" t="s">
        <v>6</v>
      </c>
      <c r="C14" s="185"/>
      <c r="D14" s="208" t="s">
        <v>36</v>
      </c>
      <c r="E14" s="208"/>
      <c r="O14" s="36"/>
      <c r="P14" s="50"/>
      <c r="Q14" s="214"/>
      <c r="R14" s="214"/>
      <c r="S14" s="214"/>
      <c r="T14" s="36"/>
      <c r="U14" s="36"/>
    </row>
    <row r="15" spans="1:22" ht="30.75" hidden="1" customHeight="1" outlineLevel="1">
      <c r="B15" s="18" t="s">
        <v>8</v>
      </c>
      <c r="C15" s="77"/>
      <c r="D15" s="209" t="s">
        <v>33</v>
      </c>
      <c r="E15" s="169"/>
      <c r="I15" s="7"/>
      <c r="O15" s="78"/>
      <c r="P15" s="79"/>
      <c r="Q15" s="282"/>
      <c r="R15" s="282"/>
      <c r="S15" s="214"/>
      <c r="T15" s="36"/>
      <c r="U15" s="36"/>
    </row>
    <row r="16" spans="1:22" ht="16.5" collapsed="1" thickBot="1">
      <c r="B16" s="250" t="s">
        <v>182</v>
      </c>
      <c r="C16" s="250"/>
      <c r="D16" s="250"/>
      <c r="E16" s="250"/>
      <c r="F16" s="250"/>
      <c r="G16" s="250"/>
      <c r="H16" s="250"/>
      <c r="I16" s="7"/>
      <c r="O16" s="78"/>
      <c r="P16" s="79"/>
      <c r="Q16" s="215"/>
      <c r="R16" s="215"/>
      <c r="S16" s="214"/>
      <c r="T16" s="36"/>
      <c r="U16" s="36"/>
    </row>
    <row r="17" spans="2:21" ht="45" customHeight="1" thickBot="1">
      <c r="B17" s="193" t="s">
        <v>183</v>
      </c>
      <c r="C17" s="230" t="s">
        <v>103</v>
      </c>
      <c r="D17" s="231"/>
      <c r="E17" s="257" t="s">
        <v>9</v>
      </c>
      <c r="F17" s="258"/>
      <c r="G17" s="257" t="s">
        <v>10</v>
      </c>
      <c r="H17" s="259"/>
      <c r="I17" s="7"/>
      <c r="O17" s="78"/>
      <c r="P17" s="79"/>
      <c r="Q17" s="215"/>
      <c r="R17" s="215"/>
      <c r="S17" s="214"/>
      <c r="T17" s="36"/>
      <c r="U17" s="36"/>
    </row>
    <row r="18" spans="2:21">
      <c r="B18" s="163" t="s">
        <v>11</v>
      </c>
      <c r="C18" s="222">
        <v>2051050.0999999999</v>
      </c>
      <c r="D18" s="276"/>
      <c r="E18" s="222">
        <v>1635409.6570619945</v>
      </c>
      <c r="F18" s="276"/>
      <c r="G18" s="222">
        <v>415640.44293800538</v>
      </c>
      <c r="H18" s="278"/>
      <c r="I18" s="7"/>
      <c r="O18" s="78"/>
      <c r="P18" s="79"/>
      <c r="Q18" s="215"/>
      <c r="R18" s="215"/>
      <c r="S18" s="214"/>
      <c r="T18" s="36"/>
      <c r="U18" s="36"/>
    </row>
    <row r="19" spans="2:21">
      <c r="B19" s="164" t="s">
        <v>12</v>
      </c>
      <c r="C19" s="224">
        <v>1963478.91</v>
      </c>
      <c r="D19" s="261"/>
      <c r="E19" s="224">
        <v>1565969.3182479783</v>
      </c>
      <c r="F19" s="261"/>
      <c r="G19" s="224">
        <v>397509.59175202157</v>
      </c>
      <c r="H19" s="262"/>
      <c r="I19" s="7"/>
      <c r="O19" s="78"/>
      <c r="P19" s="79"/>
      <c r="Q19" s="215"/>
      <c r="R19" s="215"/>
      <c r="S19" s="214"/>
      <c r="T19" s="36"/>
      <c r="U19" s="36"/>
    </row>
    <row r="20" spans="2:21" ht="16.5" thickBot="1">
      <c r="B20" s="165" t="s">
        <v>89</v>
      </c>
      <c r="C20" s="226">
        <v>2212009.8810000001</v>
      </c>
      <c r="D20" s="277"/>
      <c r="E20" s="226">
        <v>1676987.8810000001</v>
      </c>
      <c r="F20" s="277"/>
      <c r="G20" s="226">
        <v>535022</v>
      </c>
      <c r="H20" s="279"/>
      <c r="I20" s="7"/>
      <c r="O20" s="78"/>
      <c r="P20" s="79"/>
      <c r="Q20" s="215"/>
      <c r="R20" s="215"/>
      <c r="S20" s="214"/>
      <c r="T20" s="36"/>
      <c r="U20" s="36"/>
    </row>
    <row r="21" spans="2:21" ht="30.75" customHeight="1" thickBot="1">
      <c r="B21" s="166" t="s">
        <v>153</v>
      </c>
      <c r="C21" s="232">
        <f>E21+G21</f>
        <v>-248530.97100000014</v>
      </c>
      <c r="D21" s="233"/>
      <c r="E21" s="234">
        <f>E19-E20</f>
        <v>-111018.56275202171</v>
      </c>
      <c r="F21" s="235"/>
      <c r="G21" s="234">
        <f>G19-G20</f>
        <v>-137512.40824797843</v>
      </c>
      <c r="H21" s="236"/>
      <c r="I21" s="7"/>
      <c r="O21" s="78"/>
      <c r="P21" s="79"/>
      <c r="Q21" s="215"/>
      <c r="R21" s="215"/>
      <c r="S21" s="214"/>
      <c r="T21" s="36"/>
      <c r="U21" s="36"/>
    </row>
    <row r="22" spans="2:21">
      <c r="B22" s="18"/>
      <c r="C22" s="77"/>
      <c r="D22" s="209"/>
      <c r="E22" s="169"/>
      <c r="I22" s="7"/>
      <c r="O22" s="78"/>
      <c r="P22" s="79"/>
      <c r="Q22" s="215"/>
      <c r="R22" s="215"/>
      <c r="S22" s="214"/>
      <c r="T22" s="36"/>
      <c r="U22" s="36"/>
    </row>
    <row r="23" spans="2:21" ht="32.25" customHeight="1" thickBot="1">
      <c r="B23" s="247" t="s">
        <v>185</v>
      </c>
      <c r="C23" s="247"/>
      <c r="D23" s="247"/>
      <c r="E23" s="247"/>
      <c r="F23" s="247"/>
      <c r="G23" s="247"/>
      <c r="H23" s="247"/>
      <c r="L23" s="7"/>
      <c r="M23" s="299" t="s">
        <v>155</v>
      </c>
      <c r="N23" s="299" t="s">
        <v>156</v>
      </c>
    </row>
    <row r="24" spans="2:21" ht="30.75" customHeight="1">
      <c r="B24" s="273" t="s">
        <v>95</v>
      </c>
      <c r="C24" s="271" t="s">
        <v>97</v>
      </c>
      <c r="D24" s="271" t="s">
        <v>124</v>
      </c>
      <c r="E24" s="248" t="s">
        <v>186</v>
      </c>
      <c r="F24" s="267" t="s">
        <v>98</v>
      </c>
      <c r="G24" s="268"/>
      <c r="H24" s="239" t="s">
        <v>129</v>
      </c>
      <c r="L24" s="7"/>
      <c r="M24" s="300"/>
      <c r="N24" s="300"/>
    </row>
    <row r="25" spans="2:21" ht="41.25" customHeight="1" thickBot="1">
      <c r="B25" s="274"/>
      <c r="C25" s="272"/>
      <c r="D25" s="272"/>
      <c r="E25" s="249"/>
      <c r="F25" s="20" t="s">
        <v>82</v>
      </c>
      <c r="G25" s="21" t="s">
        <v>83</v>
      </c>
      <c r="H25" s="240"/>
      <c r="M25" s="303">
        <v>255111.28</v>
      </c>
      <c r="N25" s="301">
        <f>255111.28*1.01</f>
        <v>257662.3928</v>
      </c>
    </row>
    <row r="26" spans="2:21" ht="38.25" customHeight="1">
      <c r="B26" s="22" t="s">
        <v>87</v>
      </c>
      <c r="C26" s="23" t="s">
        <v>99</v>
      </c>
      <c r="D26" s="24" t="s">
        <v>100</v>
      </c>
      <c r="E26" s="25">
        <v>1.06</v>
      </c>
      <c r="F26" s="26">
        <f>$M$25/$M$26*E26</f>
        <v>26907.259383084576</v>
      </c>
      <c r="G26" s="27">
        <f>$N$25/$N$26*E26</f>
        <v>27176.331976915422</v>
      </c>
      <c r="H26" s="28">
        <f>F26-G26</f>
        <v>-269.07259383084602</v>
      </c>
      <c r="I26" s="29"/>
      <c r="J26" s="207"/>
      <c r="K26" s="207"/>
      <c r="L26" s="30"/>
      <c r="M26" s="303">
        <f>E35-E33</f>
        <v>10.050000000000001</v>
      </c>
      <c r="N26" s="303">
        <f>E35-E33</f>
        <v>10.050000000000001</v>
      </c>
    </row>
    <row r="27" spans="2:21" ht="51">
      <c r="B27" s="31" t="s">
        <v>91</v>
      </c>
      <c r="C27" s="23" t="s">
        <v>99</v>
      </c>
      <c r="D27" s="24" t="s">
        <v>100</v>
      </c>
      <c r="E27" s="32">
        <v>1.19</v>
      </c>
      <c r="F27" s="26">
        <f t="shared" ref="F27:F34" si="0">$M$25/$M$26*E27</f>
        <v>30207.206288557209</v>
      </c>
      <c r="G27" s="27">
        <f t="shared" ref="G27:G31" si="1">$N$25/$N$26*E27</f>
        <v>30509.278351442783</v>
      </c>
      <c r="H27" s="28">
        <f t="shared" ref="H27:H32" si="2">F27-G27</f>
        <v>-302.07206288557427</v>
      </c>
      <c r="I27" s="34"/>
      <c r="J27" s="3"/>
      <c r="K27" s="3"/>
      <c r="L27" s="8" t="s">
        <v>140</v>
      </c>
      <c r="M27" s="306">
        <f>M28/11.13*M26</f>
        <v>0</v>
      </c>
      <c r="N27" s="306">
        <f>N28/11.13*N26</f>
        <v>0</v>
      </c>
    </row>
    <row r="28" spans="2:21" ht="33" customHeight="1">
      <c r="B28" s="35" t="s">
        <v>84</v>
      </c>
      <c r="C28" s="23" t="s">
        <v>99</v>
      </c>
      <c r="D28" s="24" t="s">
        <v>100</v>
      </c>
      <c r="E28" s="32">
        <v>0.32</v>
      </c>
      <c r="F28" s="26">
        <f t="shared" si="0"/>
        <v>8122.9462288557206</v>
      </c>
      <c r="G28" s="27">
        <f t="shared" si="1"/>
        <v>8204.1756911442772</v>
      </c>
      <c r="H28" s="28">
        <f t="shared" si="2"/>
        <v>-81.229462288556533</v>
      </c>
      <c r="I28" s="36"/>
      <c r="L28" s="8" t="s">
        <v>138</v>
      </c>
      <c r="M28" s="307"/>
      <c r="N28" s="307"/>
    </row>
    <row r="29" spans="2:21" ht="25.5">
      <c r="B29" s="35" t="s">
        <v>85</v>
      </c>
      <c r="C29" s="37" t="s">
        <v>101</v>
      </c>
      <c r="D29" s="24" t="s">
        <v>100</v>
      </c>
      <c r="E29" s="32">
        <v>0.23</v>
      </c>
      <c r="F29" s="26">
        <f t="shared" si="0"/>
        <v>5838.3676019900495</v>
      </c>
      <c r="G29" s="27">
        <f t="shared" si="1"/>
        <v>5896.7512780099496</v>
      </c>
      <c r="H29" s="28">
        <f t="shared" si="2"/>
        <v>-58.383676019900122</v>
      </c>
      <c r="I29" s="36"/>
      <c r="L29" s="9" t="s">
        <v>141</v>
      </c>
      <c r="M29" s="306">
        <f>M28/11.13*E33</f>
        <v>0</v>
      </c>
      <c r="N29" s="306">
        <f>N28/11.13*E33</f>
        <v>0</v>
      </c>
    </row>
    <row r="30" spans="2:21" ht="51">
      <c r="B30" s="31" t="s">
        <v>88</v>
      </c>
      <c r="C30" s="23" t="s">
        <v>144</v>
      </c>
      <c r="D30" s="24" t="s">
        <v>100</v>
      </c>
      <c r="E30" s="32">
        <v>1.18</v>
      </c>
      <c r="F30" s="26">
        <f t="shared" si="0"/>
        <v>29953.364218905466</v>
      </c>
      <c r="G30" s="27">
        <f t="shared" si="1"/>
        <v>30252.897861094523</v>
      </c>
      <c r="H30" s="28">
        <f t="shared" si="2"/>
        <v>-299.53364218905699</v>
      </c>
      <c r="I30" s="36"/>
    </row>
    <row r="31" spans="2:21" ht="214.5" customHeight="1">
      <c r="B31" s="31" t="s">
        <v>128</v>
      </c>
      <c r="C31" s="23" t="s">
        <v>102</v>
      </c>
      <c r="D31" s="24" t="s">
        <v>100</v>
      </c>
      <c r="E31" s="32">
        <v>5.61</v>
      </c>
      <c r="F31" s="26">
        <f t="shared" si="0"/>
        <v>142405.40107462686</v>
      </c>
      <c r="G31" s="27">
        <f t="shared" si="1"/>
        <v>143829.45508537313</v>
      </c>
      <c r="H31" s="28">
        <f t="shared" si="2"/>
        <v>-1424.054010746273</v>
      </c>
      <c r="I31" s="34"/>
      <c r="J31" s="3"/>
      <c r="K31" s="3"/>
      <c r="L31" s="6"/>
      <c r="M31" s="304"/>
      <c r="N31" s="304"/>
    </row>
    <row r="32" spans="2:21" ht="111.75" customHeight="1">
      <c r="B32" s="31" t="s">
        <v>104</v>
      </c>
      <c r="C32" s="23" t="s">
        <v>99</v>
      </c>
      <c r="D32" s="24" t="s">
        <v>100</v>
      </c>
      <c r="E32" s="32">
        <v>0.24</v>
      </c>
      <c r="F32" s="26">
        <f t="shared" si="0"/>
        <v>6092.20967164179</v>
      </c>
      <c r="G32" s="27">
        <f t="shared" ref="G32" si="3">$N$25/$N$26*E32</f>
        <v>6153.1317683582083</v>
      </c>
      <c r="H32" s="28">
        <f t="shared" si="2"/>
        <v>-60.922096716418309</v>
      </c>
      <c r="I32" s="36"/>
    </row>
    <row r="33" spans="2:14" ht="30" customHeight="1">
      <c r="B33" s="35" t="s">
        <v>92</v>
      </c>
      <c r="C33" s="23" t="s">
        <v>99</v>
      </c>
      <c r="D33" s="24" t="s">
        <v>100</v>
      </c>
      <c r="E33" s="32">
        <v>4.2</v>
      </c>
      <c r="F33" s="26">
        <v>78150.289999999994</v>
      </c>
      <c r="G33" s="33">
        <v>101148</v>
      </c>
      <c r="H33" s="28">
        <f>F33-G33</f>
        <v>-22997.710000000006</v>
      </c>
      <c r="I33" s="36"/>
      <c r="L33" s="7"/>
    </row>
    <row r="34" spans="2:14" ht="16.5" thickBot="1">
      <c r="B34" s="66" t="s">
        <v>86</v>
      </c>
      <c r="C34" s="39" t="s">
        <v>102</v>
      </c>
      <c r="D34" s="40" t="s">
        <v>100</v>
      </c>
      <c r="E34" s="41">
        <v>0.22</v>
      </c>
      <c r="F34" s="26">
        <f t="shared" si="0"/>
        <v>5584.525532338308</v>
      </c>
      <c r="G34" s="27">
        <f t="shared" ref="G34" si="4">$N$25/$N$26*E34</f>
        <v>5640.3707876616909</v>
      </c>
      <c r="H34" s="28">
        <f>F34-G34</f>
        <v>-55.845255323382844</v>
      </c>
      <c r="I34" s="36"/>
    </row>
    <row r="35" spans="2:14" ht="16.5" thickBot="1">
      <c r="B35" s="42" t="s">
        <v>90</v>
      </c>
      <c r="C35" s="43"/>
      <c r="D35" s="43"/>
      <c r="E35" s="44">
        <f>SUM(E26:E34)</f>
        <v>14.250000000000002</v>
      </c>
      <c r="F35" s="45">
        <f>SUM(F26:F34)</f>
        <v>333261.56999999995</v>
      </c>
      <c r="G35" s="46">
        <f>SUM(G26:G34)</f>
        <v>358810.39279999997</v>
      </c>
      <c r="H35" s="47">
        <f>SUM(H26:H34)</f>
        <v>-25548.822800000016</v>
      </c>
      <c r="I35" s="69"/>
    </row>
    <row r="36" spans="2:14">
      <c r="B36" s="7"/>
      <c r="C36" s="7"/>
      <c r="D36" s="7"/>
      <c r="E36" s="17"/>
      <c r="F36" s="17"/>
      <c r="G36" s="17"/>
      <c r="H36" s="4"/>
    </row>
    <row r="37" spans="2:14" ht="16.5" customHeight="1" thickBot="1">
      <c r="B37" s="250" t="s">
        <v>187</v>
      </c>
      <c r="C37" s="250"/>
      <c r="D37" s="250"/>
      <c r="E37" s="250"/>
      <c r="F37" s="250"/>
      <c r="G37" s="250"/>
      <c r="H37" s="250"/>
      <c r="I37" s="48"/>
      <c r="J37" s="48"/>
    </row>
    <row r="38" spans="2:14" ht="39.75" customHeight="1" thickBot="1">
      <c r="B38" s="193" t="s">
        <v>188</v>
      </c>
      <c r="C38" s="230" t="s">
        <v>103</v>
      </c>
      <c r="D38" s="231"/>
      <c r="E38" s="257" t="s">
        <v>9</v>
      </c>
      <c r="F38" s="258"/>
      <c r="G38" s="257" t="s">
        <v>10</v>
      </c>
      <c r="H38" s="259"/>
      <c r="I38" s="170"/>
      <c r="J38" s="171"/>
      <c r="K38" s="49"/>
      <c r="L38" s="50"/>
      <c r="M38" s="305"/>
      <c r="N38" s="305"/>
    </row>
    <row r="39" spans="2:14">
      <c r="B39" s="163" t="s">
        <v>11</v>
      </c>
      <c r="C39" s="228">
        <f>E39+G39</f>
        <v>2384311.67</v>
      </c>
      <c r="D39" s="260"/>
      <c r="E39" s="228">
        <f>F26+F27+F28+F29+F30+F31+F32+F34+E18</f>
        <v>1890520.9370619946</v>
      </c>
      <c r="F39" s="260"/>
      <c r="G39" s="228">
        <f>F33+G18</f>
        <v>493790.73293800536</v>
      </c>
      <c r="H39" s="229"/>
      <c r="I39" s="172"/>
      <c r="J39" s="173"/>
      <c r="K39" s="52"/>
      <c r="L39" s="52"/>
      <c r="M39" s="306"/>
    </row>
    <row r="40" spans="2:14">
      <c r="B40" s="164" t="s">
        <v>12</v>
      </c>
      <c r="C40" s="224">
        <f>E40+G40</f>
        <v>2261306.7599999998</v>
      </c>
      <c r="D40" s="261"/>
      <c r="E40" s="224">
        <f>E19+N27+227986.82</f>
        <v>1793956.1382479784</v>
      </c>
      <c r="F40" s="261"/>
      <c r="G40" s="224">
        <f>G19+N29+69841.03</f>
        <v>467350.6217520216</v>
      </c>
      <c r="H40" s="262"/>
      <c r="I40" s="172"/>
      <c r="J40" s="174"/>
      <c r="K40" s="54"/>
      <c r="L40" s="52"/>
      <c r="M40" s="306"/>
    </row>
    <row r="41" spans="2:14" ht="16.5" thickBot="1">
      <c r="B41" s="165" t="s">
        <v>89</v>
      </c>
      <c r="C41" s="254">
        <f>E41+G41</f>
        <v>2570820.2738000001</v>
      </c>
      <c r="D41" s="256"/>
      <c r="E41" s="254">
        <f>G26+G27+G28+G29+G30+G31+G32+G34+E20</f>
        <v>1934650.2738000001</v>
      </c>
      <c r="F41" s="256"/>
      <c r="G41" s="254">
        <f>G33+G20</f>
        <v>636170</v>
      </c>
      <c r="H41" s="255"/>
      <c r="I41" s="172"/>
      <c r="J41" s="51"/>
      <c r="K41" s="36"/>
      <c r="L41" s="36"/>
    </row>
    <row r="42" spans="2:14" ht="36" customHeight="1" thickBot="1">
      <c r="B42" s="166" t="s">
        <v>154</v>
      </c>
      <c r="C42" s="232">
        <f>E42+G42</f>
        <v>-309513.51380000007</v>
      </c>
      <c r="D42" s="233"/>
      <c r="E42" s="234">
        <f>E40-E41</f>
        <v>-140694.13555202167</v>
      </c>
      <c r="F42" s="235"/>
      <c r="G42" s="234">
        <f>G40-G41</f>
        <v>-168819.3782479784</v>
      </c>
      <c r="H42" s="236"/>
      <c r="I42" s="175"/>
      <c r="J42" s="159"/>
      <c r="K42" s="36"/>
      <c r="L42" s="36"/>
    </row>
    <row r="43" spans="2:14" ht="13.5" customHeight="1">
      <c r="B43" s="82"/>
      <c r="C43" s="157"/>
      <c r="D43" s="157"/>
      <c r="E43" s="159"/>
      <c r="F43" s="159"/>
      <c r="G43" s="159"/>
      <c r="H43" s="159"/>
      <c r="I43" s="55"/>
      <c r="J43" s="3"/>
      <c r="K43" s="3"/>
      <c r="L43" s="3"/>
      <c r="M43" s="304"/>
      <c r="N43" s="304"/>
    </row>
    <row r="44" spans="2:14" ht="15" customHeight="1">
      <c r="B44" s="55" t="s">
        <v>78</v>
      </c>
      <c r="C44" s="237" t="s">
        <v>157</v>
      </c>
      <c r="D44" s="237"/>
      <c r="E44" s="237"/>
      <c r="F44" s="252" t="s">
        <v>13</v>
      </c>
      <c r="G44" s="252"/>
      <c r="H44" s="55"/>
      <c r="I44" s="55"/>
      <c r="J44" s="3"/>
      <c r="K44" s="3"/>
      <c r="L44" s="3"/>
      <c r="M44" s="304"/>
      <c r="N44" s="304"/>
    </row>
    <row r="45" spans="2:14" ht="9.75" customHeight="1">
      <c r="B45" s="55"/>
      <c r="C45" s="56"/>
      <c r="D45" s="56"/>
      <c r="E45" s="220"/>
      <c r="F45" s="253"/>
      <c r="G45" s="253"/>
      <c r="H45" s="55"/>
      <c r="I45" s="55"/>
      <c r="J45" s="3"/>
      <c r="K45" s="3"/>
      <c r="L45" s="3"/>
      <c r="M45" s="304"/>
      <c r="N45" s="304"/>
    </row>
    <row r="46" spans="2:14" ht="12.75" customHeight="1">
      <c r="B46" s="55" t="s">
        <v>79</v>
      </c>
      <c r="C46" s="237" t="s">
        <v>157</v>
      </c>
      <c r="D46" s="237"/>
      <c r="E46" s="237"/>
      <c r="F46" s="252" t="s">
        <v>94</v>
      </c>
      <c r="G46" s="252"/>
      <c r="H46" s="55"/>
      <c r="I46" s="55"/>
    </row>
    <row r="47" spans="2:14" ht="4.5" customHeight="1">
      <c r="B47" s="55"/>
      <c r="C47" s="56"/>
      <c r="D47" s="56"/>
      <c r="E47" s="220"/>
      <c r="F47" s="252"/>
      <c r="G47" s="252"/>
      <c r="H47" s="55"/>
      <c r="I47" s="55"/>
    </row>
    <row r="48" spans="2:14" ht="16.5" customHeight="1">
      <c r="B48" s="55" t="s">
        <v>80</v>
      </c>
      <c r="C48" s="237" t="s">
        <v>158</v>
      </c>
      <c r="D48" s="237"/>
      <c r="E48" s="237"/>
      <c r="F48" s="252" t="s">
        <v>96</v>
      </c>
      <c r="G48" s="252"/>
      <c r="H48" s="55"/>
      <c r="I48" s="8"/>
    </row>
    <row r="49" spans="2:9" ht="7.5" customHeight="1">
      <c r="B49" s="57"/>
      <c r="C49" s="58"/>
      <c r="D49" s="58"/>
      <c r="E49" s="220"/>
      <c r="F49" s="59"/>
      <c r="G49" s="57"/>
      <c r="H49" s="60"/>
      <c r="I49" s="55"/>
    </row>
    <row r="50" spans="2:9" ht="13.5" customHeight="1">
      <c r="B50" s="55" t="s">
        <v>81</v>
      </c>
      <c r="C50" s="237" t="s">
        <v>158</v>
      </c>
      <c r="D50" s="237"/>
      <c r="E50" s="237"/>
      <c r="F50" s="252" t="s">
        <v>96</v>
      </c>
      <c r="G50" s="252"/>
      <c r="H50" s="55"/>
      <c r="I50" s="4"/>
    </row>
    <row r="51" spans="2:9">
      <c r="B51" s="11"/>
      <c r="C51" s="73"/>
      <c r="D51" s="74"/>
      <c r="E51" s="220"/>
      <c r="F51" s="11"/>
      <c r="G51" s="11"/>
    </row>
    <row r="54" spans="2:9">
      <c r="B54" s="11"/>
    </row>
  </sheetData>
  <mergeCells count="60">
    <mergeCell ref="F48:G48"/>
    <mergeCell ref="C50:E50"/>
    <mergeCell ref="C41:D41"/>
    <mergeCell ref="C42:D42"/>
    <mergeCell ref="C44:E44"/>
    <mergeCell ref="C46:E46"/>
    <mergeCell ref="C48:E48"/>
    <mergeCell ref="M23:M24"/>
    <mergeCell ref="N23:N24"/>
    <mergeCell ref="C38:D38"/>
    <mergeCell ref="C39:D39"/>
    <mergeCell ref="C40:D40"/>
    <mergeCell ref="E38:F38"/>
    <mergeCell ref="O5:S7"/>
    <mergeCell ref="Q8:S8"/>
    <mergeCell ref="Q15:R15"/>
    <mergeCell ref="F24:G24"/>
    <mergeCell ref="B37:H37"/>
    <mergeCell ref="B23:H23"/>
    <mergeCell ref="H24:H25"/>
    <mergeCell ref="B24:B25"/>
    <mergeCell ref="C24:C25"/>
    <mergeCell ref="D8:E8"/>
    <mergeCell ref="E24:E25"/>
    <mergeCell ref="B16:H16"/>
    <mergeCell ref="C17:D17"/>
    <mergeCell ref="E17:F17"/>
    <mergeCell ref="E20:F20"/>
    <mergeCell ref="G20:H20"/>
    <mergeCell ref="B1:H1"/>
    <mergeCell ref="F50:G50"/>
    <mergeCell ref="F46:G46"/>
    <mergeCell ref="E40:F40"/>
    <mergeCell ref="F47:G47"/>
    <mergeCell ref="E39:F39"/>
    <mergeCell ref="E42:F42"/>
    <mergeCell ref="B5:H6"/>
    <mergeCell ref="G39:H39"/>
    <mergeCell ref="D24:D25"/>
    <mergeCell ref="F44:G44"/>
    <mergeCell ref="E41:F41"/>
    <mergeCell ref="F45:G45"/>
    <mergeCell ref="G40:H40"/>
    <mergeCell ref="G41:H41"/>
    <mergeCell ref="G42:H42"/>
    <mergeCell ref="B2:H2"/>
    <mergeCell ref="B3:H3"/>
    <mergeCell ref="B4:H4"/>
    <mergeCell ref="G38:H38"/>
    <mergeCell ref="G17:H17"/>
    <mergeCell ref="C18:D18"/>
    <mergeCell ref="E18:F18"/>
    <mergeCell ref="G18:H18"/>
    <mergeCell ref="C19:D19"/>
    <mergeCell ref="E19:F19"/>
    <mergeCell ref="G19:H19"/>
    <mergeCell ref="C20:D20"/>
    <mergeCell ref="C21:D21"/>
    <mergeCell ref="E21:F21"/>
    <mergeCell ref="G21:H21"/>
  </mergeCells>
  <printOptions horizontalCentered="1"/>
  <pageMargins left="0.19685039370078741" right="0.19685039370078741" top="0.15748031496062992" bottom="0.24" header="0.16" footer="0.24"/>
  <pageSetup paperSize="9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52"/>
  <sheetViews>
    <sheetView topLeftCell="D1" zoomScale="110" zoomScaleNormal="110" workbookViewId="0">
      <selection activeCell="M1" sqref="M1:N1048576"/>
    </sheetView>
  </sheetViews>
  <sheetFormatPr defaultColWidth="9.140625" defaultRowHeight="15.75" outlineLevelRow="1"/>
  <cols>
    <col min="1" max="1" width="2.85546875" style="1" customWidth="1"/>
    <col min="2" max="2" width="56" style="1" customWidth="1"/>
    <col min="3" max="3" width="15.140625" style="17" customWidth="1"/>
    <col min="4" max="4" width="9.5703125" style="4" customWidth="1"/>
    <col min="5" max="5" width="10.140625" style="4" customWidth="1"/>
    <col min="6" max="6" width="10.140625" style="1" customWidth="1"/>
    <col min="7" max="7" width="10.28515625" style="1" customWidth="1"/>
    <col min="8" max="8" width="10.42578125" style="1" customWidth="1"/>
    <col min="9" max="9" width="14.7109375" style="1" customWidth="1"/>
    <col min="10" max="10" width="15.42578125" style="1" customWidth="1"/>
    <col min="11" max="12" width="9.140625" style="1"/>
    <col min="13" max="13" width="16.140625" style="298" customWidth="1"/>
    <col min="14" max="14" width="18.42578125" style="298" customWidth="1"/>
    <col min="15" max="15" width="0" style="1" hidden="1" customWidth="1"/>
    <col min="16" max="16" width="10.42578125" style="1" customWidth="1"/>
    <col min="17" max="17" width="11.85546875" style="1" customWidth="1"/>
    <col min="18" max="19" width="9.140625" style="1"/>
    <col min="20" max="20" width="10" style="1" customWidth="1"/>
    <col min="21" max="21" width="11" style="1" customWidth="1"/>
    <col min="22" max="16384" width="9.140625" style="1"/>
  </cols>
  <sheetData>
    <row r="1" spans="1:21">
      <c r="A1" s="8"/>
      <c r="B1" s="221" t="s">
        <v>126</v>
      </c>
      <c r="C1" s="221"/>
      <c r="D1" s="221"/>
      <c r="E1" s="221"/>
      <c r="F1" s="221"/>
      <c r="G1" s="221"/>
      <c r="H1" s="221"/>
      <c r="N1" s="307"/>
      <c r="O1" s="61"/>
      <c r="P1" s="60"/>
      <c r="Q1" s="60"/>
      <c r="R1" s="60"/>
      <c r="S1" s="8"/>
      <c r="T1" s="8"/>
      <c r="U1" s="8"/>
    </row>
    <row r="2" spans="1:21">
      <c r="A2" s="8"/>
      <c r="B2" s="221" t="s">
        <v>127</v>
      </c>
      <c r="C2" s="221"/>
      <c r="D2" s="221"/>
      <c r="E2" s="221"/>
      <c r="F2" s="221"/>
      <c r="G2" s="221"/>
      <c r="H2" s="221"/>
      <c r="N2" s="307"/>
      <c r="O2" s="61"/>
      <c r="P2" s="60"/>
      <c r="Q2" s="60"/>
      <c r="R2" s="60"/>
      <c r="S2" s="8"/>
      <c r="T2" s="8"/>
      <c r="U2" s="8"/>
    </row>
    <row r="3" spans="1:21">
      <c r="A3" s="8"/>
      <c r="B3" s="221" t="s">
        <v>167</v>
      </c>
      <c r="C3" s="221"/>
      <c r="D3" s="221"/>
      <c r="E3" s="221"/>
      <c r="F3" s="221"/>
      <c r="G3" s="221"/>
      <c r="H3" s="221"/>
      <c r="N3" s="307"/>
      <c r="O3" s="61"/>
      <c r="P3" s="60"/>
      <c r="Q3" s="60"/>
      <c r="R3" s="60"/>
      <c r="S3" s="8"/>
      <c r="T3" s="8"/>
      <c r="U3" s="8"/>
    </row>
    <row r="4" spans="1:21">
      <c r="A4" s="8"/>
      <c r="B4" s="221" t="s">
        <v>191</v>
      </c>
      <c r="C4" s="221"/>
      <c r="D4" s="221"/>
      <c r="E4" s="221"/>
      <c r="F4" s="221"/>
      <c r="G4" s="221"/>
      <c r="H4" s="221"/>
      <c r="N4" s="307"/>
      <c r="O4" s="61"/>
      <c r="P4" s="60"/>
      <c r="Q4" s="60"/>
      <c r="R4" s="60"/>
      <c r="S4" s="8"/>
      <c r="T4" s="8"/>
      <c r="U4" s="8"/>
    </row>
    <row r="5" spans="1:21" ht="5.25" customHeight="1">
      <c r="A5" s="8"/>
      <c r="B5" s="206"/>
      <c r="C5" s="206"/>
      <c r="D5" s="206"/>
      <c r="E5" s="206"/>
      <c r="F5" s="206"/>
      <c r="G5" s="206"/>
      <c r="H5" s="206"/>
      <c r="N5" s="307"/>
      <c r="O5" s="61"/>
      <c r="P5" s="60"/>
      <c r="Q5" s="60"/>
      <c r="R5" s="60"/>
      <c r="S5" s="8"/>
      <c r="T5" s="8"/>
      <c r="U5" s="8"/>
    </row>
    <row r="6" spans="1:21" ht="19.5" customHeight="1">
      <c r="A6" s="80"/>
      <c r="B6" s="238" t="s">
        <v>184</v>
      </c>
      <c r="C6" s="238"/>
      <c r="D6" s="238"/>
      <c r="E6" s="238"/>
      <c r="F6" s="238"/>
      <c r="G6" s="238"/>
      <c r="H6" s="238"/>
      <c r="N6" s="283"/>
      <c r="O6" s="283"/>
      <c r="P6" s="283"/>
      <c r="Q6" s="283"/>
      <c r="R6" s="283"/>
      <c r="S6" s="216"/>
      <c r="T6" s="216"/>
      <c r="U6" s="81"/>
    </row>
    <row r="7" spans="1:21" ht="20.25" customHeight="1">
      <c r="A7" s="80"/>
      <c r="B7" s="238"/>
      <c r="C7" s="238"/>
      <c r="D7" s="238"/>
      <c r="E7" s="238"/>
      <c r="F7" s="238"/>
      <c r="G7" s="238"/>
      <c r="H7" s="238"/>
      <c r="N7" s="308"/>
      <c r="O7" s="216"/>
      <c r="P7" s="216"/>
      <c r="Q7" s="216"/>
      <c r="R7" s="216"/>
      <c r="S7" s="216"/>
      <c r="T7" s="216"/>
      <c r="U7" s="81"/>
    </row>
    <row r="8" spans="1:21" ht="9.75" customHeight="1">
      <c r="A8" s="80"/>
      <c r="B8" s="219"/>
      <c r="C8" s="219"/>
      <c r="D8" s="219"/>
      <c r="E8" s="219"/>
      <c r="F8" s="219"/>
      <c r="G8" s="219"/>
      <c r="H8" s="219"/>
      <c r="N8" s="308"/>
      <c r="O8" s="216"/>
      <c r="P8" s="216"/>
      <c r="Q8" s="216"/>
      <c r="R8" s="216"/>
      <c r="S8" s="216"/>
      <c r="T8" s="216"/>
      <c r="U8" s="81"/>
    </row>
    <row r="9" spans="1:21">
      <c r="A9" s="8"/>
      <c r="B9" s="176" t="s">
        <v>0</v>
      </c>
      <c r="C9" s="177"/>
      <c r="D9" s="245" t="s">
        <v>37</v>
      </c>
      <c r="E9" s="245"/>
      <c r="F9" s="8"/>
      <c r="G9" s="8"/>
      <c r="H9" s="8"/>
      <c r="N9" s="309"/>
      <c r="O9" s="14"/>
      <c r="P9" s="284"/>
      <c r="Q9" s="284"/>
      <c r="R9" s="284"/>
      <c r="S9" s="52"/>
      <c r="T9" s="52"/>
      <c r="U9" s="8"/>
    </row>
    <row r="10" spans="1:21">
      <c r="A10" s="8"/>
      <c r="B10" s="176" t="s">
        <v>1</v>
      </c>
      <c r="C10" s="177"/>
      <c r="D10" s="208">
        <v>1966</v>
      </c>
      <c r="E10" s="208"/>
      <c r="F10" s="8"/>
      <c r="G10" s="8"/>
      <c r="H10" s="8"/>
      <c r="N10" s="309"/>
      <c r="O10" s="14"/>
      <c r="P10" s="217"/>
      <c r="Q10" s="217"/>
      <c r="R10" s="217"/>
      <c r="S10" s="52"/>
      <c r="T10" s="52"/>
      <c r="U10" s="8"/>
    </row>
    <row r="11" spans="1:21" hidden="1" outlineLevel="1">
      <c r="A11" s="8"/>
      <c r="B11" s="176" t="s">
        <v>2</v>
      </c>
      <c r="C11" s="177"/>
      <c r="D11" s="208">
        <v>4</v>
      </c>
      <c r="E11" s="208"/>
      <c r="F11" s="8"/>
      <c r="G11" s="8"/>
      <c r="H11" s="8"/>
      <c r="N11" s="309"/>
      <c r="O11" s="14"/>
      <c r="P11" s="217"/>
      <c r="Q11" s="217"/>
      <c r="R11" s="217"/>
      <c r="S11" s="52"/>
      <c r="T11" s="52"/>
      <c r="U11" s="8"/>
    </row>
    <row r="12" spans="1:21" hidden="1" outlineLevel="1">
      <c r="A12" s="8"/>
      <c r="B12" s="176" t="s">
        <v>3</v>
      </c>
      <c r="C12" s="177"/>
      <c r="D12" s="208">
        <v>32</v>
      </c>
      <c r="E12" s="208"/>
      <c r="F12" s="8"/>
      <c r="G12" s="8"/>
      <c r="H12" s="8"/>
      <c r="N12" s="309"/>
      <c r="O12" s="14"/>
      <c r="P12" s="217"/>
      <c r="Q12" s="217"/>
      <c r="R12" s="217"/>
      <c r="S12" s="52"/>
      <c r="T12" s="52"/>
      <c r="U12" s="8"/>
    </row>
    <row r="13" spans="1:21" ht="30.75" hidden="1" customHeight="1" outlineLevel="1">
      <c r="A13" s="8"/>
      <c r="B13" s="178" t="s">
        <v>4</v>
      </c>
      <c r="C13" s="179"/>
      <c r="D13" s="208" t="s">
        <v>38</v>
      </c>
      <c r="E13" s="208"/>
      <c r="F13" s="8"/>
      <c r="G13" s="8"/>
      <c r="H13" s="8"/>
      <c r="N13" s="310"/>
      <c r="O13" s="83"/>
      <c r="P13" s="217"/>
      <c r="Q13" s="217"/>
      <c r="R13" s="217"/>
      <c r="S13" s="52"/>
      <c r="T13" s="52"/>
      <c r="U13" s="8"/>
    </row>
    <row r="14" spans="1:21" collapsed="1">
      <c r="A14" s="8"/>
      <c r="B14" s="176" t="s">
        <v>5</v>
      </c>
      <c r="C14" s="177"/>
      <c r="D14" s="208" t="s">
        <v>111</v>
      </c>
      <c r="E14" s="208"/>
      <c r="F14" s="8"/>
      <c r="G14" s="8"/>
      <c r="H14" s="8"/>
      <c r="I14" s="7"/>
      <c r="N14" s="309"/>
      <c r="O14" s="14"/>
      <c r="P14" s="217"/>
      <c r="Q14" s="217"/>
      <c r="R14" s="217"/>
      <c r="S14" s="52"/>
      <c r="T14" s="52"/>
      <c r="U14" s="8"/>
    </row>
    <row r="15" spans="1:21" hidden="1" outlineLevel="1">
      <c r="A15" s="8"/>
      <c r="B15" s="8" t="s">
        <v>6</v>
      </c>
      <c r="C15" s="61"/>
      <c r="D15" s="213" t="s">
        <v>7</v>
      </c>
      <c r="E15" s="213"/>
      <c r="F15" s="8"/>
      <c r="G15" s="8"/>
      <c r="H15" s="8"/>
      <c r="N15" s="309"/>
      <c r="O15" s="14"/>
      <c r="P15" s="217"/>
      <c r="Q15" s="217"/>
      <c r="R15" s="217"/>
      <c r="S15" s="52"/>
      <c r="T15" s="52"/>
      <c r="U15" s="8"/>
    </row>
    <row r="16" spans="1:21" ht="30.75" hidden="1" customHeight="1" outlineLevel="1">
      <c r="A16" s="8"/>
      <c r="B16" s="62" t="s">
        <v>8</v>
      </c>
      <c r="C16" s="63"/>
      <c r="D16" s="160" t="s">
        <v>39</v>
      </c>
      <c r="E16" s="213"/>
      <c r="F16" s="8"/>
      <c r="G16" s="8"/>
      <c r="H16" s="8"/>
      <c r="I16" s="7"/>
      <c r="N16" s="310"/>
      <c r="O16" s="83"/>
      <c r="P16" s="285"/>
      <c r="Q16" s="285"/>
      <c r="R16" s="217"/>
      <c r="S16" s="52"/>
      <c r="T16" s="52"/>
      <c r="U16" s="8"/>
    </row>
    <row r="17" spans="1:21" ht="16.5" collapsed="1" thickBot="1">
      <c r="A17" s="8"/>
      <c r="B17" s="250" t="s">
        <v>182</v>
      </c>
      <c r="C17" s="250"/>
      <c r="D17" s="250"/>
      <c r="E17" s="250"/>
      <c r="F17" s="250"/>
      <c r="G17" s="250"/>
      <c r="H17" s="250"/>
      <c r="I17" s="7"/>
      <c r="N17" s="310"/>
      <c r="O17" s="83"/>
      <c r="P17" s="218"/>
      <c r="Q17" s="218"/>
      <c r="R17" s="217"/>
      <c r="S17" s="52"/>
      <c r="T17" s="52"/>
      <c r="U17" s="8"/>
    </row>
    <row r="18" spans="1:21" ht="40.5" customHeight="1" thickBot="1">
      <c r="A18" s="8"/>
      <c r="B18" s="193" t="s">
        <v>183</v>
      </c>
      <c r="C18" s="230" t="s">
        <v>103</v>
      </c>
      <c r="D18" s="231"/>
      <c r="E18" s="257" t="s">
        <v>9</v>
      </c>
      <c r="F18" s="258"/>
      <c r="G18" s="257" t="s">
        <v>10</v>
      </c>
      <c r="H18" s="259"/>
      <c r="I18" s="7"/>
      <c r="N18" s="310"/>
      <c r="O18" s="83"/>
      <c r="P18" s="218"/>
      <c r="Q18" s="218"/>
      <c r="R18" s="217"/>
      <c r="S18" s="52"/>
      <c r="T18" s="52"/>
      <c r="U18" s="8"/>
    </row>
    <row r="19" spans="1:21">
      <c r="A19" s="8"/>
      <c r="B19" s="163" t="s">
        <v>11</v>
      </c>
      <c r="C19" s="222">
        <v>1521834.4400000002</v>
      </c>
      <c r="D19" s="223"/>
      <c r="E19" s="228">
        <v>1150635.6200000001</v>
      </c>
      <c r="F19" s="260"/>
      <c r="G19" s="228">
        <v>371198.82000000007</v>
      </c>
      <c r="H19" s="229"/>
      <c r="I19" s="7"/>
      <c r="N19" s="310"/>
      <c r="O19" s="83"/>
      <c r="P19" s="218"/>
      <c r="Q19" s="218"/>
      <c r="R19" s="217"/>
      <c r="S19" s="52"/>
      <c r="T19" s="52"/>
      <c r="U19" s="8"/>
    </row>
    <row r="20" spans="1:21">
      <c r="A20" s="8"/>
      <c r="B20" s="164" t="s">
        <v>12</v>
      </c>
      <c r="C20" s="224">
        <v>1443213.3399999999</v>
      </c>
      <c r="D20" s="225"/>
      <c r="E20" s="224">
        <v>1091677.1199999999</v>
      </c>
      <c r="F20" s="261"/>
      <c r="G20" s="224">
        <v>351536.22</v>
      </c>
      <c r="H20" s="262"/>
      <c r="I20" s="7"/>
      <c r="N20" s="310"/>
      <c r="O20" s="83"/>
      <c r="P20" s="218"/>
      <c r="Q20" s="218"/>
      <c r="R20" s="217"/>
      <c r="S20" s="52"/>
      <c r="T20" s="52"/>
      <c r="U20" s="8"/>
    </row>
    <row r="21" spans="1:21" ht="16.5" thickBot="1">
      <c r="A21" s="8"/>
      <c r="B21" s="165" t="s">
        <v>89</v>
      </c>
      <c r="C21" s="226">
        <v>1312014.102</v>
      </c>
      <c r="D21" s="227"/>
      <c r="E21" s="254">
        <v>1138900.102</v>
      </c>
      <c r="F21" s="256"/>
      <c r="G21" s="254">
        <v>173114</v>
      </c>
      <c r="H21" s="255"/>
      <c r="I21" s="7"/>
      <c r="N21" s="310"/>
      <c r="O21" s="83"/>
      <c r="P21" s="218"/>
      <c r="Q21" s="218"/>
      <c r="R21" s="217"/>
      <c r="S21" s="52"/>
      <c r="T21" s="52"/>
      <c r="U21" s="8"/>
    </row>
    <row r="22" spans="1:21" ht="36.75" thickBot="1">
      <c r="A22" s="8"/>
      <c r="B22" s="166" t="s">
        <v>153</v>
      </c>
      <c r="C22" s="232">
        <f>E22+G22</f>
        <v>131199.2379999999</v>
      </c>
      <c r="D22" s="233"/>
      <c r="E22" s="234">
        <f>E20-E21</f>
        <v>-47222.982000000076</v>
      </c>
      <c r="F22" s="235"/>
      <c r="G22" s="234">
        <f>G20-G21</f>
        <v>178422.21999999997</v>
      </c>
      <c r="H22" s="236"/>
      <c r="I22" s="7"/>
      <c r="N22" s="310"/>
      <c r="O22" s="83"/>
      <c r="P22" s="218"/>
      <c r="Q22" s="218"/>
      <c r="R22" s="217"/>
      <c r="S22" s="52"/>
      <c r="T22" s="52"/>
      <c r="U22" s="8"/>
    </row>
    <row r="23" spans="1:21">
      <c r="A23" s="8"/>
      <c r="B23" s="62"/>
      <c r="C23" s="63"/>
      <c r="D23" s="160"/>
      <c r="E23" s="213"/>
      <c r="F23" s="8"/>
      <c r="G23" s="8"/>
      <c r="H23" s="8"/>
      <c r="I23" s="7"/>
      <c r="N23" s="310"/>
      <c r="O23" s="83"/>
      <c r="P23" s="218"/>
      <c r="Q23" s="218"/>
      <c r="R23" s="217"/>
      <c r="S23" s="52"/>
      <c r="T23" s="52"/>
      <c r="U23" s="8"/>
    </row>
    <row r="24" spans="1:21" ht="30" customHeight="1" thickBot="1">
      <c r="B24" s="247" t="s">
        <v>185</v>
      </c>
      <c r="C24" s="247"/>
      <c r="D24" s="247"/>
      <c r="E24" s="247"/>
      <c r="F24" s="247"/>
      <c r="G24" s="247"/>
      <c r="H24" s="247"/>
      <c r="L24" s="7"/>
      <c r="M24" s="299" t="s">
        <v>155</v>
      </c>
      <c r="N24" s="299" t="s">
        <v>156</v>
      </c>
    </row>
    <row r="25" spans="1:21" ht="34.5" customHeight="1">
      <c r="B25" s="273" t="s">
        <v>95</v>
      </c>
      <c r="C25" s="271" t="s">
        <v>97</v>
      </c>
      <c r="D25" s="271" t="s">
        <v>113</v>
      </c>
      <c r="E25" s="248" t="s">
        <v>186</v>
      </c>
      <c r="F25" s="267" t="s">
        <v>98</v>
      </c>
      <c r="G25" s="268"/>
      <c r="H25" s="239" t="s">
        <v>129</v>
      </c>
      <c r="L25" s="7"/>
      <c r="M25" s="300"/>
      <c r="N25" s="300"/>
    </row>
    <row r="26" spans="1:21" ht="39.75" customHeight="1" thickBot="1">
      <c r="B26" s="274"/>
      <c r="C26" s="272"/>
      <c r="D26" s="272"/>
      <c r="E26" s="249"/>
      <c r="F26" s="20" t="s">
        <v>82</v>
      </c>
      <c r="G26" s="21" t="s">
        <v>83</v>
      </c>
      <c r="H26" s="240"/>
      <c r="M26" s="301">
        <v>192318.1</v>
      </c>
      <c r="N26" s="301">
        <f>192318.1*1.01</f>
        <v>194241.28100000002</v>
      </c>
    </row>
    <row r="27" spans="1:21" ht="40.5" customHeight="1">
      <c r="B27" s="22" t="s">
        <v>87</v>
      </c>
      <c r="C27" s="23" t="s">
        <v>99</v>
      </c>
      <c r="D27" s="24" t="s">
        <v>100</v>
      </c>
      <c r="E27" s="25">
        <v>1.06</v>
      </c>
      <c r="F27" s="26">
        <f>$M$26/$M$27*E27</f>
        <v>19052.07345794393</v>
      </c>
      <c r="G27" s="27">
        <f>$N$26/$N$27*E27</f>
        <v>19242.594192523367</v>
      </c>
      <c r="H27" s="28">
        <f>F27-G27</f>
        <v>-190.52073457943698</v>
      </c>
      <c r="I27" s="29"/>
      <c r="J27" s="207"/>
      <c r="K27" s="207"/>
      <c r="L27" s="30"/>
      <c r="M27" s="303">
        <f>E36-E34</f>
        <v>10.7</v>
      </c>
      <c r="N27" s="303">
        <f>E36-E34</f>
        <v>10.7</v>
      </c>
    </row>
    <row r="28" spans="1:21" ht="51">
      <c r="B28" s="31" t="s">
        <v>91</v>
      </c>
      <c r="C28" s="23" t="s">
        <v>99</v>
      </c>
      <c r="D28" s="24" t="s">
        <v>100</v>
      </c>
      <c r="E28" s="32">
        <v>1.19</v>
      </c>
      <c r="F28" s="26">
        <f t="shared" ref="F28:F35" si="0">$M$26/$M$27*E28</f>
        <v>21388.648504672899</v>
      </c>
      <c r="G28" s="27">
        <f t="shared" ref="G28:G32" si="1">$N$26/$N$27*E28</f>
        <v>21602.534989719628</v>
      </c>
      <c r="H28" s="28">
        <f t="shared" ref="H28:H33" si="2">F28-G28</f>
        <v>-213.88648504672892</v>
      </c>
      <c r="I28" s="34"/>
      <c r="J28" s="3"/>
      <c r="K28" s="3"/>
      <c r="L28" s="3"/>
      <c r="M28" s="304"/>
      <c r="N28" s="304"/>
    </row>
    <row r="29" spans="1:21" ht="31.5" customHeight="1">
      <c r="B29" s="35" t="s">
        <v>84</v>
      </c>
      <c r="C29" s="23" t="s">
        <v>99</v>
      </c>
      <c r="D29" s="24" t="s">
        <v>100</v>
      </c>
      <c r="E29" s="32">
        <v>0.32</v>
      </c>
      <c r="F29" s="26">
        <f t="shared" si="0"/>
        <v>5751.5693457943935</v>
      </c>
      <c r="G29" s="27">
        <f t="shared" si="1"/>
        <v>5809.0850392523371</v>
      </c>
      <c r="H29" s="28">
        <f t="shared" si="2"/>
        <v>-57.515693457943598</v>
      </c>
      <c r="I29" s="36"/>
      <c r="L29" s="7"/>
    </row>
    <row r="30" spans="1:21" ht="25.5">
      <c r="B30" s="35" t="s">
        <v>85</v>
      </c>
      <c r="C30" s="37" t="s">
        <v>101</v>
      </c>
      <c r="D30" s="24" t="s">
        <v>100</v>
      </c>
      <c r="E30" s="32">
        <v>0.18</v>
      </c>
      <c r="F30" s="26">
        <f t="shared" si="0"/>
        <v>3235.2577570093463</v>
      </c>
      <c r="G30" s="27">
        <f t="shared" si="1"/>
        <v>3267.6103345794395</v>
      </c>
      <c r="H30" s="28">
        <f t="shared" si="2"/>
        <v>-32.352577570093217</v>
      </c>
      <c r="I30" s="36"/>
      <c r="L30" s="7"/>
    </row>
    <row r="31" spans="1:21" ht="51">
      <c r="B31" s="31" t="s">
        <v>88</v>
      </c>
      <c r="C31" s="23" t="s">
        <v>144</v>
      </c>
      <c r="D31" s="24" t="s">
        <v>100</v>
      </c>
      <c r="E31" s="32">
        <v>1.18</v>
      </c>
      <c r="F31" s="26">
        <f t="shared" si="0"/>
        <v>21208.911962616825</v>
      </c>
      <c r="G31" s="27">
        <f t="shared" si="1"/>
        <v>21421.001082242994</v>
      </c>
      <c r="H31" s="28">
        <f t="shared" si="2"/>
        <v>-212.08911962616912</v>
      </c>
      <c r="I31" s="36"/>
    </row>
    <row r="32" spans="1:21" ht="217.5" customHeight="1">
      <c r="B32" s="31" t="s">
        <v>128</v>
      </c>
      <c r="C32" s="23" t="s">
        <v>102</v>
      </c>
      <c r="D32" s="24" t="s">
        <v>100</v>
      </c>
      <c r="E32" s="32">
        <v>5.61</v>
      </c>
      <c r="F32" s="26">
        <f t="shared" si="0"/>
        <v>100832.20009345797</v>
      </c>
      <c r="G32" s="27">
        <f t="shared" si="1"/>
        <v>101840.52209439254</v>
      </c>
      <c r="H32" s="28">
        <f t="shared" si="2"/>
        <v>-1008.3220009345678</v>
      </c>
      <c r="I32" s="34"/>
      <c r="J32" s="3"/>
      <c r="K32" s="3"/>
      <c r="L32" s="6"/>
      <c r="M32" s="304"/>
      <c r="N32" s="304"/>
    </row>
    <row r="33" spans="2:14" ht="105.75" customHeight="1">
      <c r="B33" s="31" t="s">
        <v>104</v>
      </c>
      <c r="C33" s="23" t="s">
        <v>99</v>
      </c>
      <c r="D33" s="24" t="s">
        <v>100</v>
      </c>
      <c r="E33" s="32">
        <v>0.24</v>
      </c>
      <c r="F33" s="26">
        <f t="shared" si="0"/>
        <v>4313.6770093457953</v>
      </c>
      <c r="G33" s="27">
        <f t="shared" ref="G33" si="3">$N$26/$N$27*E33</f>
        <v>4356.8137794392533</v>
      </c>
      <c r="H33" s="28">
        <f t="shared" si="2"/>
        <v>-43.136770093457926</v>
      </c>
      <c r="I33" s="36"/>
    </row>
    <row r="34" spans="2:14" ht="25.5" customHeight="1">
      <c r="B34" s="35" t="s">
        <v>92</v>
      </c>
      <c r="C34" s="23" t="s">
        <v>99</v>
      </c>
      <c r="D34" s="24" t="s">
        <v>100</v>
      </c>
      <c r="E34" s="32">
        <v>3.83</v>
      </c>
      <c r="F34" s="26">
        <v>68839.100000000006</v>
      </c>
      <c r="G34" s="33">
        <v>28752</v>
      </c>
      <c r="H34" s="28">
        <f>F34-G34</f>
        <v>40087.100000000006</v>
      </c>
      <c r="I34" s="36"/>
      <c r="L34" s="7"/>
    </row>
    <row r="35" spans="2:14" ht="16.5" thickBot="1">
      <c r="B35" s="66" t="s">
        <v>86</v>
      </c>
      <c r="C35" s="39" t="s">
        <v>102</v>
      </c>
      <c r="D35" s="40" t="s">
        <v>100</v>
      </c>
      <c r="E35" s="41">
        <v>0.92</v>
      </c>
      <c r="F35" s="26">
        <f t="shared" si="0"/>
        <v>16535.761869158883</v>
      </c>
      <c r="G35" s="27">
        <f t="shared" ref="G35" si="4">$N$26/$N$27*E35</f>
        <v>16701.119487850472</v>
      </c>
      <c r="H35" s="28">
        <f>F35-G35</f>
        <v>-165.35761869158887</v>
      </c>
      <c r="I35" s="36"/>
    </row>
    <row r="36" spans="2:14" ht="16.5" thickBot="1">
      <c r="B36" s="42" t="s">
        <v>90</v>
      </c>
      <c r="C36" s="43"/>
      <c r="D36" s="43"/>
      <c r="E36" s="44">
        <f>SUM(E27:E35)</f>
        <v>14.53</v>
      </c>
      <c r="F36" s="45">
        <f>SUM(F27:F35)</f>
        <v>261157.20000000004</v>
      </c>
      <c r="G36" s="46">
        <f>SUM(G27:G35)</f>
        <v>222993.28100000002</v>
      </c>
      <c r="H36" s="47">
        <f>SUM(H27:H35)</f>
        <v>38163.919000000016</v>
      </c>
      <c r="I36" s="69"/>
    </row>
    <row r="37" spans="2:14">
      <c r="B37" s="7"/>
      <c r="C37" s="7"/>
      <c r="D37" s="7"/>
      <c r="E37" s="17"/>
      <c r="F37" s="17"/>
      <c r="G37" s="17"/>
      <c r="H37" s="4"/>
    </row>
    <row r="38" spans="2:14" ht="16.5" customHeight="1" thickBot="1">
      <c r="B38" s="250" t="s">
        <v>187</v>
      </c>
      <c r="C38" s="250"/>
      <c r="D38" s="250"/>
      <c r="E38" s="250"/>
      <c r="F38" s="250"/>
      <c r="G38" s="250"/>
      <c r="H38" s="250"/>
      <c r="I38" s="48"/>
      <c r="J38" s="48"/>
    </row>
    <row r="39" spans="2:14" ht="57" customHeight="1" thickBot="1">
      <c r="B39" s="193" t="s">
        <v>188</v>
      </c>
      <c r="C39" s="230" t="s">
        <v>103</v>
      </c>
      <c r="D39" s="231"/>
      <c r="E39" s="257" t="s">
        <v>9</v>
      </c>
      <c r="F39" s="258"/>
      <c r="G39" s="257" t="s">
        <v>10</v>
      </c>
      <c r="H39" s="259"/>
      <c r="I39" s="170"/>
      <c r="J39" s="171"/>
      <c r="K39" s="49"/>
      <c r="L39" s="50"/>
      <c r="M39" s="305"/>
      <c r="N39" s="305"/>
    </row>
    <row r="40" spans="2:14">
      <c r="B40" s="163" t="s">
        <v>11</v>
      </c>
      <c r="C40" s="228">
        <f>E40+G40</f>
        <v>1782991.6400000001</v>
      </c>
      <c r="D40" s="260"/>
      <c r="E40" s="228">
        <f>F27+F28+F29+F30+F31+F32+F33+F35+E19</f>
        <v>1342953.7200000002</v>
      </c>
      <c r="F40" s="260"/>
      <c r="G40" s="228">
        <f>F34+G19</f>
        <v>440037.92000000004</v>
      </c>
      <c r="H40" s="229"/>
      <c r="I40" s="172"/>
      <c r="J40" s="173"/>
      <c r="K40" s="52"/>
      <c r="L40" s="52"/>
      <c r="M40" s="306"/>
    </row>
    <row r="41" spans="2:14">
      <c r="B41" s="164" t="s">
        <v>12</v>
      </c>
      <c r="C41" s="224">
        <f>E41+G41</f>
        <v>1690605.21</v>
      </c>
      <c r="D41" s="261"/>
      <c r="E41" s="224">
        <f>E20+182181.21</f>
        <v>1273858.3299999998</v>
      </c>
      <c r="F41" s="261"/>
      <c r="G41" s="224">
        <f>G20+65210.66</f>
        <v>416746.88</v>
      </c>
      <c r="H41" s="262"/>
      <c r="I41" s="172"/>
      <c r="J41" s="174"/>
      <c r="K41" s="54"/>
      <c r="L41" s="52"/>
      <c r="M41" s="306"/>
    </row>
    <row r="42" spans="2:14" ht="16.5" thickBot="1">
      <c r="B42" s="165" t="s">
        <v>89</v>
      </c>
      <c r="C42" s="254">
        <f>E42+G42</f>
        <v>1535007.3829999999</v>
      </c>
      <c r="D42" s="256"/>
      <c r="E42" s="254">
        <f>G27+G28+G29+G30+G31+G32+G33+G35+E21</f>
        <v>1333141.3829999999</v>
      </c>
      <c r="F42" s="256"/>
      <c r="G42" s="254">
        <f>G34+G21</f>
        <v>201866</v>
      </c>
      <c r="H42" s="255"/>
      <c r="I42" s="172"/>
      <c r="J42" s="51"/>
      <c r="K42" s="36"/>
      <c r="L42" s="36"/>
    </row>
    <row r="43" spans="2:14" ht="30.75" customHeight="1" thickBot="1">
      <c r="B43" s="166" t="s">
        <v>154</v>
      </c>
      <c r="C43" s="232">
        <f>E43+G43</f>
        <v>155597.82699999993</v>
      </c>
      <c r="D43" s="233"/>
      <c r="E43" s="234">
        <f>E41-E42</f>
        <v>-59283.053000000073</v>
      </c>
      <c r="F43" s="235"/>
      <c r="G43" s="234">
        <f>G41-G42</f>
        <v>214880.88</v>
      </c>
      <c r="H43" s="236"/>
      <c r="I43" s="175"/>
      <c r="J43" s="159"/>
      <c r="K43" s="36"/>
      <c r="L43" s="36"/>
    </row>
    <row r="44" spans="2:14" ht="16.5" customHeight="1">
      <c r="B44" s="82"/>
      <c r="C44" s="157"/>
      <c r="D44" s="157"/>
      <c r="E44" s="159"/>
      <c r="F44" s="159"/>
      <c r="G44" s="159"/>
      <c r="H44" s="159"/>
      <c r="I44" s="55"/>
      <c r="J44" s="3"/>
      <c r="K44" s="3"/>
      <c r="L44" s="3"/>
      <c r="M44" s="304"/>
      <c r="N44" s="304"/>
    </row>
    <row r="45" spans="2:14" ht="13.5" customHeight="1">
      <c r="B45" s="55" t="s">
        <v>78</v>
      </c>
      <c r="C45" s="237" t="s">
        <v>157</v>
      </c>
      <c r="D45" s="237"/>
      <c r="E45" s="237"/>
      <c r="F45" s="252" t="s">
        <v>13</v>
      </c>
      <c r="G45" s="252"/>
      <c r="H45" s="55"/>
      <c r="I45" s="55"/>
      <c r="J45" s="3"/>
      <c r="K45" s="3"/>
      <c r="L45" s="3"/>
      <c r="M45" s="304"/>
      <c r="N45" s="304"/>
    </row>
    <row r="46" spans="2:14" ht="12" customHeight="1">
      <c r="B46" s="55"/>
      <c r="C46" s="56"/>
      <c r="D46" s="56"/>
      <c r="E46" s="220"/>
      <c r="F46" s="253"/>
      <c r="G46" s="253"/>
      <c r="H46" s="55"/>
      <c r="I46" s="55"/>
      <c r="J46" s="3"/>
      <c r="K46" s="3"/>
      <c r="L46" s="3"/>
      <c r="M46" s="304"/>
      <c r="N46" s="304"/>
    </row>
    <row r="47" spans="2:14" ht="12" customHeight="1">
      <c r="B47" s="55" t="s">
        <v>79</v>
      </c>
      <c r="C47" s="237" t="s">
        <v>157</v>
      </c>
      <c r="D47" s="237"/>
      <c r="E47" s="237"/>
      <c r="F47" s="252" t="s">
        <v>94</v>
      </c>
      <c r="G47" s="252"/>
      <c r="H47" s="55"/>
      <c r="I47" s="55"/>
    </row>
    <row r="48" spans="2:14" ht="9.75" customHeight="1">
      <c r="B48" s="55"/>
      <c r="C48" s="56"/>
      <c r="D48" s="56"/>
      <c r="E48" s="220"/>
      <c r="F48" s="252"/>
      <c r="G48" s="252"/>
      <c r="H48" s="55"/>
      <c r="I48" s="55"/>
    </row>
    <row r="49" spans="2:9" ht="15" customHeight="1">
      <c r="B49" s="55" t="s">
        <v>80</v>
      </c>
      <c r="C49" s="237" t="s">
        <v>158</v>
      </c>
      <c r="D49" s="237"/>
      <c r="E49" s="237"/>
      <c r="F49" s="252" t="s">
        <v>96</v>
      </c>
      <c r="G49" s="252"/>
      <c r="H49" s="55"/>
      <c r="I49" s="8"/>
    </row>
    <row r="50" spans="2:9" ht="9.75" customHeight="1">
      <c r="B50" s="57"/>
      <c r="C50" s="58"/>
      <c r="D50" s="58"/>
      <c r="E50" s="220"/>
      <c r="F50" s="59"/>
      <c r="G50" s="57"/>
      <c r="H50" s="60"/>
      <c r="I50" s="55"/>
    </row>
    <row r="51" spans="2:9" ht="15" customHeight="1">
      <c r="B51" s="55" t="s">
        <v>81</v>
      </c>
      <c r="C51" s="237" t="s">
        <v>158</v>
      </c>
      <c r="D51" s="237"/>
      <c r="E51" s="237"/>
      <c r="F51" s="252" t="s">
        <v>96</v>
      </c>
      <c r="G51" s="252"/>
      <c r="H51" s="55"/>
      <c r="I51" s="4"/>
    </row>
    <row r="52" spans="2:9">
      <c r="E52" s="210"/>
    </row>
  </sheetData>
  <mergeCells count="60">
    <mergeCell ref="C39:D39"/>
    <mergeCell ref="C40:D40"/>
    <mergeCell ref="C41:D41"/>
    <mergeCell ref="C42:D42"/>
    <mergeCell ref="C43:D43"/>
    <mergeCell ref="C22:D22"/>
    <mergeCell ref="E22:F22"/>
    <mergeCell ref="G22:H22"/>
    <mergeCell ref="M24:M25"/>
    <mergeCell ref="N24:N25"/>
    <mergeCell ref="G19:H19"/>
    <mergeCell ref="C20:D20"/>
    <mergeCell ref="E20:F20"/>
    <mergeCell ref="G20:H20"/>
    <mergeCell ref="C21:D21"/>
    <mergeCell ref="E21:F21"/>
    <mergeCell ref="G21:H21"/>
    <mergeCell ref="N6:R6"/>
    <mergeCell ref="E40:F40"/>
    <mergeCell ref="E42:F42"/>
    <mergeCell ref="G39:H39"/>
    <mergeCell ref="G40:H40"/>
    <mergeCell ref="P9:R9"/>
    <mergeCell ref="P16:Q16"/>
    <mergeCell ref="D9:E9"/>
    <mergeCell ref="B24:H24"/>
    <mergeCell ref="B25:B26"/>
    <mergeCell ref="E39:F39"/>
    <mergeCell ref="B17:H17"/>
    <mergeCell ref="C18:D18"/>
    <mergeCell ref="E18:F18"/>
    <mergeCell ref="G18:H18"/>
    <mergeCell ref="C19:D19"/>
    <mergeCell ref="F51:G51"/>
    <mergeCell ref="F48:G48"/>
    <mergeCell ref="E43:F43"/>
    <mergeCell ref="C45:E45"/>
    <mergeCell ref="C47:E47"/>
    <mergeCell ref="C49:E49"/>
    <mergeCell ref="F49:G49"/>
    <mergeCell ref="C51:E51"/>
    <mergeCell ref="F46:G46"/>
    <mergeCell ref="F47:G47"/>
    <mergeCell ref="F45:G45"/>
    <mergeCell ref="B1:H1"/>
    <mergeCell ref="B6:H7"/>
    <mergeCell ref="G41:H41"/>
    <mergeCell ref="G42:H42"/>
    <mergeCell ref="G43:H43"/>
    <mergeCell ref="C25:C26"/>
    <mergeCell ref="D25:D26"/>
    <mergeCell ref="H25:H26"/>
    <mergeCell ref="B38:H38"/>
    <mergeCell ref="E25:E26"/>
    <mergeCell ref="F25:G25"/>
    <mergeCell ref="B2:H2"/>
    <mergeCell ref="B3:H3"/>
    <mergeCell ref="B4:H4"/>
    <mergeCell ref="E19:F19"/>
    <mergeCell ref="E41:F41"/>
  </mergeCells>
  <printOptions horizontalCentered="1"/>
  <pageMargins left="0.22" right="0.2" top="0.15748031496062992" bottom="0.23622047244094491" header="0.16" footer="0.2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60</vt:lpstr>
      <vt:lpstr>62</vt:lpstr>
      <vt:lpstr>62а</vt:lpstr>
      <vt:lpstr>68</vt:lpstr>
      <vt:lpstr>68а</vt:lpstr>
      <vt:lpstr>70</vt:lpstr>
      <vt:lpstr>70а</vt:lpstr>
      <vt:lpstr>72</vt:lpstr>
      <vt:lpstr>72а</vt:lpstr>
      <vt:lpstr>80</vt:lpstr>
      <vt:lpstr>82</vt:lpstr>
      <vt:lpstr>84в</vt:lpstr>
      <vt:lpstr>86а</vt:lpstr>
      <vt:lpstr>88</vt:lpstr>
      <vt:lpstr>92</vt:lpstr>
      <vt:lpstr>92а</vt:lpstr>
      <vt:lpstr>94</vt:lpstr>
      <vt:lpstr>96</vt:lpstr>
      <vt:lpstr>96а</vt:lpstr>
      <vt:lpstr>98</vt:lpstr>
      <vt:lpstr>100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2020-04-30T10:23:18Z</dcterms:modified>
</cp:coreProperties>
</file>